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ork\ARRC update 2020-08-27\"/>
    </mc:Choice>
  </mc:AlternateContent>
  <bookViews>
    <workbookView xWindow="0" yWindow="0" windowWidth="15945" windowHeight="4140"/>
  </bookViews>
  <sheets>
    <sheet name="Floored Rate NCCR calc" sheetId="1" r:id="rId1"/>
    <sheet name="Floored Rate CTB calc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4" l="1"/>
  <c r="R27" i="4"/>
  <c r="O24" i="1" l="1"/>
  <c r="P25" i="1" s="1"/>
  <c r="P23" i="1"/>
  <c r="O23" i="1"/>
  <c r="P24" i="1" s="1"/>
  <c r="O22" i="1"/>
  <c r="O21" i="1"/>
  <c r="P22" i="1" s="1"/>
  <c r="O20" i="1"/>
  <c r="P21" i="1" s="1"/>
  <c r="O19" i="1"/>
  <c r="P20" i="1" s="1"/>
  <c r="O18" i="1"/>
  <c r="P19" i="1" s="1"/>
  <c r="O17" i="1"/>
  <c r="P18" i="1" s="1"/>
  <c r="O16" i="1"/>
  <c r="P17" i="1" s="1"/>
  <c r="P15" i="1"/>
  <c r="O15" i="1"/>
  <c r="P16" i="1" s="1"/>
  <c r="O14" i="1"/>
  <c r="O13" i="1"/>
  <c r="P14" i="1" s="1"/>
  <c r="O12" i="1"/>
  <c r="P13" i="1" s="1"/>
  <c r="O11" i="1"/>
  <c r="P12" i="1" s="1"/>
  <c r="O10" i="1"/>
  <c r="P11" i="1" s="1"/>
  <c r="O9" i="1"/>
  <c r="P10" i="1" s="1"/>
  <c r="O8" i="1"/>
  <c r="P9" i="1" s="1"/>
  <c r="P7" i="1"/>
  <c r="O7" i="1"/>
  <c r="P8" i="1" s="1"/>
  <c r="O6" i="1"/>
  <c r="O5" i="1"/>
  <c r="P6" i="1" s="1"/>
  <c r="O4" i="1"/>
  <c r="P5" i="1" s="1"/>
  <c r="O24" i="4"/>
  <c r="P25" i="4" s="1"/>
  <c r="O23" i="4"/>
  <c r="P24" i="4" s="1"/>
  <c r="O22" i="4"/>
  <c r="P23" i="4" s="1"/>
  <c r="O21" i="4"/>
  <c r="P22" i="4" s="1"/>
  <c r="O20" i="4"/>
  <c r="P21" i="4" s="1"/>
  <c r="O19" i="4"/>
  <c r="P20" i="4" s="1"/>
  <c r="O18" i="4"/>
  <c r="P19" i="4" s="1"/>
  <c r="O17" i="4"/>
  <c r="P18" i="4" s="1"/>
  <c r="O16" i="4"/>
  <c r="P17" i="4" s="1"/>
  <c r="O15" i="4"/>
  <c r="P16" i="4" s="1"/>
  <c r="P14" i="4"/>
  <c r="O14" i="4"/>
  <c r="P15" i="4" s="1"/>
  <c r="O13" i="4"/>
  <c r="O12" i="4"/>
  <c r="P13" i="4" s="1"/>
  <c r="O11" i="4"/>
  <c r="P12" i="4" s="1"/>
  <c r="O10" i="4"/>
  <c r="P11" i="4" s="1"/>
  <c r="O9" i="4"/>
  <c r="P10" i="4" s="1"/>
  <c r="O8" i="4"/>
  <c r="P9" i="4" s="1"/>
  <c r="O7" i="4"/>
  <c r="P8" i="4" s="1"/>
  <c r="P6" i="4"/>
  <c r="O6" i="4"/>
  <c r="P7" i="4" s="1"/>
  <c r="O5" i="4"/>
  <c r="O4" i="4"/>
  <c r="P5" i="4" s="1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4" i="4" l="1"/>
  <c r="M24" i="4" s="1"/>
  <c r="E23" i="4"/>
  <c r="M23" i="4" s="1"/>
  <c r="E22" i="4"/>
  <c r="M22" i="4" s="1"/>
  <c r="E21" i="4"/>
  <c r="M21" i="4" s="1"/>
  <c r="E20" i="4"/>
  <c r="M20" i="4" s="1"/>
  <c r="E19" i="4"/>
  <c r="M19" i="4" s="1"/>
  <c r="E18" i="4"/>
  <c r="M18" i="4" s="1"/>
  <c r="E17" i="4"/>
  <c r="M17" i="4" s="1"/>
  <c r="E16" i="4"/>
  <c r="M16" i="4" s="1"/>
  <c r="E15" i="4"/>
  <c r="M15" i="4" s="1"/>
  <c r="E14" i="4"/>
  <c r="M14" i="4" s="1"/>
  <c r="E13" i="4"/>
  <c r="M13" i="4" s="1"/>
  <c r="E12" i="4"/>
  <c r="M12" i="4" s="1"/>
  <c r="E11" i="4"/>
  <c r="M11" i="4" s="1"/>
  <c r="E10" i="4"/>
  <c r="M10" i="4" s="1"/>
  <c r="E9" i="4"/>
  <c r="M9" i="4" s="1"/>
  <c r="E8" i="4"/>
  <c r="M8" i="4" s="1"/>
  <c r="E7" i="4"/>
  <c r="M7" i="4" s="1"/>
  <c r="E6" i="4"/>
  <c r="M6" i="4" s="1"/>
  <c r="E5" i="4"/>
  <c r="M5" i="4" s="1"/>
  <c r="E4" i="4"/>
  <c r="M4" i="4" s="1"/>
  <c r="M24" i="1"/>
  <c r="N25" i="1" s="1"/>
  <c r="M23" i="1"/>
  <c r="N24" i="1" s="1"/>
  <c r="M22" i="1"/>
  <c r="N23" i="1" s="1"/>
  <c r="M21" i="1"/>
  <c r="N22" i="1" s="1"/>
  <c r="M20" i="1"/>
  <c r="N21" i="1" s="1"/>
  <c r="M19" i="1"/>
  <c r="N20" i="1" s="1"/>
  <c r="M18" i="1"/>
  <c r="N19" i="1" s="1"/>
  <c r="M17" i="1"/>
  <c r="N18" i="1" s="1"/>
  <c r="M16" i="1"/>
  <c r="N17" i="1" s="1"/>
  <c r="M15" i="1"/>
  <c r="N16" i="1" s="1"/>
  <c r="M14" i="1"/>
  <c r="N15" i="1" s="1"/>
  <c r="M13" i="1"/>
  <c r="N14" i="1" s="1"/>
  <c r="M12" i="1"/>
  <c r="N13" i="1" s="1"/>
  <c r="M11" i="1"/>
  <c r="N12" i="1" s="1"/>
  <c r="M10" i="1"/>
  <c r="N11" i="1" s="1"/>
  <c r="M9" i="1"/>
  <c r="N10" i="1" s="1"/>
  <c r="M8" i="1"/>
  <c r="N9" i="1" s="1"/>
  <c r="M7" i="1"/>
  <c r="N8" i="1" s="1"/>
  <c r="M6" i="1"/>
  <c r="N7" i="1" s="1"/>
  <c r="M5" i="1"/>
  <c r="N6" i="1" s="1"/>
  <c r="M4" i="1"/>
  <c r="N5" i="1" s="1"/>
  <c r="I4" i="4" l="1"/>
  <c r="J4" i="4" s="1"/>
  <c r="I6" i="4"/>
  <c r="J6" i="4" s="1"/>
  <c r="I8" i="4"/>
  <c r="J8" i="4" s="1"/>
  <c r="I10" i="4"/>
  <c r="J10" i="4" s="1"/>
  <c r="I12" i="4"/>
  <c r="J12" i="4" s="1"/>
  <c r="I15" i="4"/>
  <c r="J15" i="4" s="1"/>
  <c r="I18" i="4"/>
  <c r="J18" i="4" s="1"/>
  <c r="I20" i="4"/>
  <c r="J20" i="4" s="1"/>
  <c r="I23" i="4"/>
  <c r="J23" i="4" s="1"/>
  <c r="I5" i="4"/>
  <c r="J5" i="4" s="1"/>
  <c r="I7" i="4"/>
  <c r="J7" i="4" s="1"/>
  <c r="I9" i="4"/>
  <c r="J9" i="4" s="1"/>
  <c r="I11" i="4"/>
  <c r="J11" i="4" s="1"/>
  <c r="I13" i="4"/>
  <c r="J13" i="4" s="1"/>
  <c r="I14" i="4"/>
  <c r="J14" i="4" s="1"/>
  <c r="I16" i="4"/>
  <c r="J16" i="4" s="1"/>
  <c r="I17" i="4"/>
  <c r="J17" i="4" s="1"/>
  <c r="I19" i="4"/>
  <c r="J19" i="4" s="1"/>
  <c r="I21" i="4"/>
  <c r="J21" i="4" s="1"/>
  <c r="I22" i="4"/>
  <c r="J22" i="4" s="1"/>
  <c r="I24" i="4"/>
  <c r="J24" i="4" s="1"/>
  <c r="I4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J7" i="1" l="1"/>
  <c r="J15" i="1"/>
  <c r="J4" i="1"/>
  <c r="J12" i="1"/>
  <c r="J20" i="1"/>
  <c r="J5" i="1"/>
  <c r="J9" i="1"/>
  <c r="J13" i="1"/>
  <c r="J17" i="1"/>
  <c r="J21" i="1"/>
  <c r="J11" i="1"/>
  <c r="J19" i="1"/>
  <c r="J23" i="1"/>
  <c r="J8" i="1"/>
  <c r="J16" i="1"/>
  <c r="J24" i="1"/>
  <c r="J6" i="1"/>
  <c r="J10" i="1"/>
  <c r="J14" i="1"/>
  <c r="J18" i="1"/>
  <c r="J22" i="1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5" i="4"/>
  <c r="R5" i="4" s="1"/>
  <c r="S5" i="1" l="1"/>
  <c r="Q5" i="4"/>
  <c r="K5" i="4"/>
  <c r="L6" i="4" s="1"/>
  <c r="R6" i="4" s="1"/>
  <c r="S6" i="1" l="1"/>
  <c r="K6" i="4"/>
  <c r="L7" i="4" s="1"/>
  <c r="R7" i="4" s="1"/>
  <c r="Q6" i="4"/>
  <c r="K4" i="1"/>
  <c r="L5" i="1" s="1"/>
  <c r="Q5" i="1" l="1"/>
  <c r="R5" i="1"/>
  <c r="S7" i="1"/>
  <c r="K7" i="4"/>
  <c r="L8" i="4" s="1"/>
  <c r="R8" i="4" s="1"/>
  <c r="Q7" i="4"/>
  <c r="K5" i="1"/>
  <c r="L6" i="1" s="1"/>
  <c r="Q6" i="1" l="1"/>
  <c r="R6" i="1"/>
  <c r="S6" i="4" s="1"/>
  <c r="S5" i="4"/>
  <c r="S8" i="1"/>
  <c r="K8" i="4"/>
  <c r="L9" i="4" s="1"/>
  <c r="R9" i="4" s="1"/>
  <c r="Q8" i="4"/>
  <c r="K6" i="1"/>
  <c r="L7" i="1" s="1"/>
  <c r="Q7" i="1" l="1"/>
  <c r="R7" i="1"/>
  <c r="S9" i="1"/>
  <c r="K9" i="4"/>
  <c r="L10" i="4" s="1"/>
  <c r="R10" i="4" s="1"/>
  <c r="Q9" i="4"/>
  <c r="K7" i="1"/>
  <c r="L8" i="1" s="1"/>
  <c r="S7" i="4" l="1"/>
  <c r="Q8" i="1"/>
  <c r="R8" i="1"/>
  <c r="S8" i="4" s="1"/>
  <c r="S10" i="1"/>
  <c r="K10" i="4"/>
  <c r="L11" i="4" s="1"/>
  <c r="R11" i="4" s="1"/>
  <c r="Q10" i="4"/>
  <c r="K8" i="1"/>
  <c r="L9" i="1" s="1"/>
  <c r="Q9" i="1" l="1"/>
  <c r="R9" i="1"/>
  <c r="S9" i="4" s="1"/>
  <c r="S11" i="1"/>
  <c r="K11" i="4"/>
  <c r="L12" i="4" s="1"/>
  <c r="R12" i="4" s="1"/>
  <c r="Q11" i="4"/>
  <c r="K9" i="1"/>
  <c r="L10" i="1" s="1"/>
  <c r="Q10" i="1" l="1"/>
  <c r="R10" i="1"/>
  <c r="S10" i="4" s="1"/>
  <c r="S12" i="1"/>
  <c r="K12" i="4"/>
  <c r="L13" i="4" s="1"/>
  <c r="R13" i="4" s="1"/>
  <c r="Q12" i="4"/>
  <c r="K10" i="1"/>
  <c r="L11" i="1" s="1"/>
  <c r="Q11" i="1" l="1"/>
  <c r="R11" i="1"/>
  <c r="S13" i="1"/>
  <c r="K13" i="4"/>
  <c r="L14" i="4" s="1"/>
  <c r="R14" i="4" s="1"/>
  <c r="Q13" i="4"/>
  <c r="K11" i="1"/>
  <c r="L12" i="1" s="1"/>
  <c r="Q12" i="1" l="1"/>
  <c r="R12" i="1"/>
  <c r="S12" i="4" s="1"/>
  <c r="S11" i="4"/>
  <c r="S14" i="1"/>
  <c r="K14" i="4"/>
  <c r="L15" i="4" s="1"/>
  <c r="R15" i="4" s="1"/>
  <c r="Q14" i="4"/>
  <c r="K12" i="1"/>
  <c r="L13" i="1" s="1"/>
  <c r="Q13" i="1" l="1"/>
  <c r="R13" i="1"/>
  <c r="S15" i="1"/>
  <c r="K15" i="4"/>
  <c r="L16" i="4" s="1"/>
  <c r="R16" i="4" s="1"/>
  <c r="Q15" i="4"/>
  <c r="K13" i="1"/>
  <c r="L14" i="1" s="1"/>
  <c r="Q14" i="1" l="1"/>
  <c r="R14" i="1"/>
  <c r="S14" i="4" s="1"/>
  <c r="S13" i="4"/>
  <c r="S16" i="1"/>
  <c r="K16" i="4"/>
  <c r="L17" i="4" s="1"/>
  <c r="R17" i="4" s="1"/>
  <c r="Q16" i="4"/>
  <c r="K14" i="1"/>
  <c r="L15" i="1" s="1"/>
  <c r="Q15" i="1" l="1"/>
  <c r="R15" i="1"/>
  <c r="S15" i="4" s="1"/>
  <c r="S17" i="1"/>
  <c r="K17" i="4"/>
  <c r="L18" i="4" s="1"/>
  <c r="R18" i="4" s="1"/>
  <c r="Q17" i="4"/>
  <c r="K15" i="1"/>
  <c r="L16" i="1" s="1"/>
  <c r="Q16" i="1" l="1"/>
  <c r="R16" i="1"/>
  <c r="S16" i="4" s="1"/>
  <c r="S18" i="1"/>
  <c r="K18" i="4"/>
  <c r="L19" i="4" s="1"/>
  <c r="R19" i="4" s="1"/>
  <c r="Q18" i="4"/>
  <c r="K16" i="1"/>
  <c r="L17" i="1" s="1"/>
  <c r="Q17" i="1" l="1"/>
  <c r="R17" i="1"/>
  <c r="S17" i="4" s="1"/>
  <c r="S19" i="1"/>
  <c r="K19" i="4"/>
  <c r="L20" i="4" s="1"/>
  <c r="R20" i="4" s="1"/>
  <c r="Q19" i="4"/>
  <c r="K17" i="1"/>
  <c r="L18" i="1" s="1"/>
  <c r="Q18" i="1" l="1"/>
  <c r="R18" i="1"/>
  <c r="S18" i="4" s="1"/>
  <c r="S20" i="1"/>
  <c r="K20" i="4"/>
  <c r="L21" i="4" s="1"/>
  <c r="R21" i="4" s="1"/>
  <c r="Q20" i="4"/>
  <c r="K18" i="1"/>
  <c r="L19" i="1" s="1"/>
  <c r="Q19" i="1" l="1"/>
  <c r="R19" i="1"/>
  <c r="S19" i="4" s="1"/>
  <c r="S21" i="1"/>
  <c r="K21" i="4"/>
  <c r="L22" i="4" s="1"/>
  <c r="R22" i="4" s="1"/>
  <c r="Q21" i="4"/>
  <c r="K19" i="1"/>
  <c r="L20" i="1" s="1"/>
  <c r="Q20" i="1" l="1"/>
  <c r="R20" i="1"/>
  <c r="S20" i="4" s="1"/>
  <c r="S22" i="1"/>
  <c r="K22" i="4"/>
  <c r="L23" i="4" s="1"/>
  <c r="R23" i="4" s="1"/>
  <c r="Q22" i="4"/>
  <c r="K20" i="1"/>
  <c r="L21" i="1" s="1"/>
  <c r="Q21" i="1" l="1"/>
  <c r="R21" i="1"/>
  <c r="S21" i="4" s="1"/>
  <c r="S23" i="1"/>
  <c r="K23" i="4"/>
  <c r="L24" i="4" s="1"/>
  <c r="R24" i="4" s="1"/>
  <c r="Q23" i="4"/>
  <c r="K21" i="1"/>
  <c r="L22" i="1" s="1"/>
  <c r="Q22" i="1" l="1"/>
  <c r="R22" i="1"/>
  <c r="S22" i="4" s="1"/>
  <c r="S24" i="1"/>
  <c r="K24" i="4"/>
  <c r="L25" i="4" s="1"/>
  <c r="R25" i="4" s="1"/>
  <c r="Q24" i="4"/>
  <c r="K22" i="1"/>
  <c r="L23" i="1" s="1"/>
  <c r="Q23" i="1" l="1"/>
  <c r="R23" i="1"/>
  <c r="S23" i="4" s="1"/>
  <c r="S25" i="1"/>
  <c r="K25" i="4"/>
  <c r="Q25" i="4"/>
  <c r="K23" i="1"/>
  <c r="L24" i="1" s="1"/>
  <c r="Q24" i="1" l="1"/>
  <c r="R24" i="1"/>
  <c r="S24" i="4" s="1"/>
  <c r="K24" i="1"/>
  <c r="L25" i="1" s="1"/>
  <c r="Q25" i="1" l="1"/>
  <c r="R25" i="1"/>
  <c r="S27" i="1"/>
  <c r="S25" i="4" l="1"/>
  <c r="R27" i="1"/>
</calcChain>
</file>

<file path=xl/sharedStrings.xml><?xml version="1.0" encoding="utf-8"?>
<sst xmlns="http://schemas.openxmlformats.org/spreadsheetml/2006/main" count="71" uniqueCount="28">
  <si>
    <t>Effective Spread Adjustment</t>
  </si>
  <si>
    <t xml:space="preserve">Accrued Interest on Simple Daily Spread Adjustment </t>
  </si>
  <si>
    <t>Daily Compound Accrual</t>
  </si>
  <si>
    <t>Accumulated Unpaid Compounded Interest</t>
  </si>
  <si>
    <t>Total Accrued Interest:</t>
  </si>
  <si>
    <t>Spread Adjustment for Legacy Loans</t>
  </si>
  <si>
    <t>Floored ESTR Rate</t>
  </si>
  <si>
    <t>Effective Floored ESTR Rate</t>
  </si>
  <si>
    <t>Daily Simple Spread Adjustment Accrual</t>
  </si>
  <si>
    <t>-</t>
  </si>
  <si>
    <r>
      <t># days rate applies (n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)</t>
    </r>
  </si>
  <si>
    <t>Interest Date
(t)</t>
  </si>
  <si>
    <r>
      <t>Principal
(P</t>
    </r>
    <r>
      <rPr>
        <vertAlign val="subscript"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)</t>
    </r>
  </si>
  <si>
    <r>
      <t>ESTR Print
(r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)</t>
    </r>
  </si>
  <si>
    <t>Legacy LIBOR Floor</t>
  </si>
  <si>
    <t>Total Daily Accrual of Compouded SOFR and Spread Adjustment</t>
  </si>
  <si>
    <t>SOFR Rate and Principal/Paydown Information</t>
  </si>
  <si>
    <t>Compound Interest Accrual Calculations</t>
  </si>
  <si>
    <t>Unannualized Cumulative Compound Rate</t>
  </si>
  <si>
    <t>Observation Date 
(No Lookback)</t>
  </si>
  <si>
    <r>
      <t>Margin
(m</t>
    </r>
    <r>
      <rPr>
        <vertAlign val="subscript"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)</t>
    </r>
  </si>
  <si>
    <t>Noncumulative Compound Rate Daily Base Interest Accrual</t>
  </si>
  <si>
    <t>Note: Daily Accrual Calculated from NCCR</t>
  </si>
  <si>
    <t>Effective Margin</t>
  </si>
  <si>
    <t>Daily Simple Margin Accrual</t>
  </si>
  <si>
    <t>Total Daily Accrual of Compouded SOFR, Spread Adjustment, and Margin</t>
  </si>
  <si>
    <t>Note: Daily Accrual Calculated from CTB</t>
  </si>
  <si>
    <t>Simple Spread Adjustment and Margin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</si>
</sst>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.00"/>
    <numFmt numFmtId="165" formatCode="0.0000000%"/>
    <numFmt numFmtId="166" formatCode="[$-F800]dddd\,\ mmmm\ dd\,\ yyyy"/>
    <numFmt numFmtId="167" formatCode="0.00000%"/>
    <numFmt numFmtId="168" formatCode="0.000%"/>
    <numFmt numFmtId="169" formatCode="0.0%"/>
    <numFmt numFmtId="170" formatCode="[$-409]mmm\ d\,\ yy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bscript"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168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69" fontId="0" fillId="2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68" fontId="0" fillId="4" borderId="0" xfId="0" applyNumberFormat="1" applyFill="1" applyBorder="1" applyAlignment="1">
      <alignment horizontal="center"/>
    </xf>
    <xf numFmtId="167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 wrapText="1"/>
    </xf>
    <xf numFmtId="164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66" fontId="1" fillId="3" borderId="4" xfId="0" applyNumberFormat="1" applyFont="1" applyFill="1" applyBorder="1" applyAlignment="1">
      <alignment horizontal="center" wrapText="1"/>
    </xf>
    <xf numFmtId="166" fontId="1" fillId="3" borderId="5" xfId="0" applyNumberFormat="1" applyFont="1" applyFill="1" applyBorder="1" applyAlignment="1">
      <alignment horizontal="center" wrapText="1"/>
    </xf>
    <xf numFmtId="166" fontId="0" fillId="2" borderId="4" xfId="0" applyNumberForma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166" fontId="0" fillId="2" borderId="5" xfId="0" applyNumberFormat="1" applyFill="1" applyBorder="1"/>
    <xf numFmtId="164" fontId="0" fillId="5" borderId="1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164" fontId="0" fillId="6" borderId="4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167" fontId="0" fillId="5" borderId="4" xfId="0" applyNumberFormat="1" applyFill="1" applyBorder="1" applyAlignment="1">
      <alignment horizontal="center"/>
    </xf>
    <xf numFmtId="166" fontId="0" fillId="2" borderId="9" xfId="0" applyNumberFormat="1" applyFill="1" applyBorder="1"/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164" fontId="0" fillId="7" borderId="7" xfId="0" applyNumberFormat="1" applyFill="1" applyBorder="1"/>
    <xf numFmtId="164" fontId="0" fillId="7" borderId="8" xfId="0" applyNumberFormat="1" applyFill="1" applyBorder="1"/>
    <xf numFmtId="166" fontId="1" fillId="3" borderId="0" xfId="0" applyNumberFormat="1" applyFont="1" applyFill="1" applyBorder="1" applyAlignment="1">
      <alignment horizontal="center" wrapText="1"/>
    </xf>
    <xf numFmtId="10" fontId="0" fillId="2" borderId="0" xfId="0" applyNumberFormat="1" applyFill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164" fontId="0" fillId="7" borderId="7" xfId="0" applyNumberFormat="1" applyFill="1" applyBorder="1" applyAlignment="1">
      <alignment horizontal="center"/>
    </xf>
    <xf numFmtId="166" fontId="0" fillId="2" borderId="3" xfId="0" applyNumberFormat="1" applyFill="1" applyBorder="1"/>
    <xf numFmtId="168" fontId="0" fillId="2" borderId="2" xfId="0" applyNumberFormat="1" applyFill="1" applyBorder="1"/>
    <xf numFmtId="169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168" fontId="0" fillId="2" borderId="0" xfId="0" applyNumberFormat="1" applyFill="1" applyBorder="1"/>
    <xf numFmtId="169" fontId="0" fillId="2" borderId="0" xfId="0" applyNumberFormat="1" applyFill="1" applyBorder="1"/>
    <xf numFmtId="10" fontId="0" fillId="2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8" fontId="0" fillId="4" borderId="4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70" fontId="0" fillId="2" borderId="2" xfId="0" applyNumberFormat="1" applyFill="1" applyBorder="1"/>
    <xf numFmtId="170" fontId="0" fillId="2" borderId="0" xfId="0" applyNumberFormat="1" applyFill="1" applyBorder="1"/>
    <xf numFmtId="167" fontId="0" fillId="5" borderId="0" xfId="0" applyNumberFormat="1" applyFill="1" applyBorder="1" applyAlignment="1">
      <alignment horizontal="center" wrapText="1"/>
    </xf>
    <xf numFmtId="4" fontId="0" fillId="5" borderId="10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6" fillId="5" borderId="3" xfId="0" applyFont="1" applyFill="1" applyBorder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164" fontId="0" fillId="6" borderId="8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164" fontId="0" fillId="7" borderId="5" xfId="0" applyNumberForma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K1" workbookViewId="0">
      <pane ySplit="3" topLeftCell="A23" activePane="bottomLeft" state="frozen"/>
      <selection pane="bottomLeft" activeCell="P28" sqref="P28"/>
    </sheetView>
  </sheetViews>
  <sheetFormatPr defaultRowHeight="15" x14ac:dyDescent="0.25"/>
  <cols>
    <col min="1" max="1" width="30" style="2" customWidth="1"/>
    <col min="2" max="2" width="16.5703125" style="2" customWidth="1"/>
    <col min="3" max="3" width="18.140625" style="5" customWidth="1"/>
    <col min="5" max="5" width="10.7109375" customWidth="1"/>
    <col min="6" max="6" width="9.140625" style="1"/>
    <col min="7" max="7" width="10.42578125" customWidth="1"/>
    <col min="8" max="8" width="9.140625" style="1"/>
    <col min="9" max="9" width="8.7109375" style="1"/>
    <col min="10" max="10" width="13.85546875" style="1" customWidth="1"/>
    <col min="11" max="12" width="15" style="1" customWidth="1"/>
    <col min="13" max="13" width="15.42578125" style="1" customWidth="1"/>
    <col min="14" max="14" width="15" style="1" customWidth="1"/>
    <col min="15" max="16" width="15.42578125" style="18" customWidth="1"/>
    <col min="17" max="17" width="15" style="1" customWidth="1"/>
    <col min="18" max="18" width="18.85546875" style="1" customWidth="1"/>
    <col min="19" max="19" width="12.5703125" customWidth="1"/>
    <col min="20" max="20" width="12.42578125" customWidth="1"/>
  </cols>
  <sheetData>
    <row r="1" spans="1:19" ht="18.75" x14ac:dyDescent="0.3">
      <c r="A1" s="96" t="s">
        <v>16</v>
      </c>
      <c r="B1" s="97"/>
      <c r="C1" s="97"/>
      <c r="D1" s="97"/>
      <c r="E1" s="97"/>
      <c r="F1" s="97"/>
      <c r="G1" s="97"/>
      <c r="H1" s="98"/>
      <c r="I1" s="99" t="s">
        <v>17</v>
      </c>
      <c r="J1" s="100"/>
      <c r="K1" s="100"/>
      <c r="L1" s="101"/>
      <c r="M1" s="85" t="s">
        <v>27</v>
      </c>
      <c r="N1" s="86"/>
      <c r="O1" s="87"/>
      <c r="P1" s="88"/>
      <c r="Q1" s="32"/>
      <c r="R1" s="83"/>
      <c r="S1" s="48"/>
    </row>
    <row r="2" spans="1:19" ht="91.5" x14ac:dyDescent="0.35">
      <c r="A2" s="24" t="s">
        <v>11</v>
      </c>
      <c r="B2" s="53" t="s">
        <v>19</v>
      </c>
      <c r="C2" s="9" t="s">
        <v>12</v>
      </c>
      <c r="D2" s="11" t="s">
        <v>13</v>
      </c>
      <c r="E2" s="11" t="s">
        <v>5</v>
      </c>
      <c r="F2" s="11" t="s">
        <v>14</v>
      </c>
      <c r="G2" s="9" t="s">
        <v>20</v>
      </c>
      <c r="H2" s="27" t="s">
        <v>10</v>
      </c>
      <c r="I2" s="12" t="s">
        <v>6</v>
      </c>
      <c r="J2" s="12" t="s">
        <v>7</v>
      </c>
      <c r="K2" s="12" t="s">
        <v>18</v>
      </c>
      <c r="L2" s="55" t="s">
        <v>21</v>
      </c>
      <c r="M2" s="16" t="s">
        <v>0</v>
      </c>
      <c r="N2" s="16" t="s">
        <v>1</v>
      </c>
      <c r="O2" s="16" t="s">
        <v>23</v>
      </c>
      <c r="P2" s="16" t="s">
        <v>24</v>
      </c>
      <c r="Q2" s="33" t="s">
        <v>15</v>
      </c>
      <c r="R2" s="34" t="s">
        <v>25</v>
      </c>
      <c r="S2" s="49" t="s">
        <v>26</v>
      </c>
    </row>
    <row r="3" spans="1:19" ht="5.0999999999999996" customHeight="1" thickBot="1" x14ac:dyDescent="0.3">
      <c r="A3" s="25"/>
      <c r="B3" s="19"/>
      <c r="C3" s="20"/>
      <c r="D3" s="21"/>
      <c r="E3" s="21"/>
      <c r="F3" s="21"/>
      <c r="G3" s="21"/>
      <c r="H3" s="28"/>
      <c r="I3" s="22"/>
      <c r="J3" s="22"/>
      <c r="K3" s="22"/>
      <c r="L3" s="22"/>
      <c r="M3" s="23"/>
      <c r="N3" s="23"/>
      <c r="O3" s="23"/>
      <c r="P3" s="23"/>
      <c r="Q3" s="35"/>
      <c r="R3" s="36"/>
      <c r="S3" s="50"/>
    </row>
    <row r="4" spans="1:19" x14ac:dyDescent="0.25">
      <c r="A4" s="57">
        <v>43710</v>
      </c>
      <c r="B4" s="77">
        <f>A4</f>
        <v>43710</v>
      </c>
      <c r="C4" s="75">
        <v>10000000</v>
      </c>
      <c r="D4" s="58">
        <v>-4.4900000000000001E-3</v>
      </c>
      <c r="E4" s="59">
        <f>0.005</f>
        <v>5.0000000000000001E-3</v>
      </c>
      <c r="F4" s="60">
        <v>0</v>
      </c>
      <c r="G4" s="61">
        <v>0.02</v>
      </c>
      <c r="H4" s="60">
        <v>1</v>
      </c>
      <c r="I4" s="71">
        <f t="shared" ref="I4:I24" si="0">MAX(D4,F4-E4)</f>
        <v>-4.4900000000000001E-3</v>
      </c>
      <c r="J4" s="62">
        <f t="shared" ref="J4:J24" si="1">H4*I4/360</f>
        <v>-1.2472222222222222E-5</v>
      </c>
      <c r="K4" s="62">
        <f>(1+J4)-1</f>
        <v>-1.2472222222226215E-5</v>
      </c>
      <c r="L4" s="72"/>
      <c r="M4" s="63">
        <f t="shared" ref="M4:M24" si="2">E4*H4/360</f>
        <v>1.388888888888889E-5</v>
      </c>
      <c r="N4" s="63"/>
      <c r="O4" s="79">
        <f>G4*H4/360</f>
        <v>5.5555555555555558E-5</v>
      </c>
      <c r="P4" s="16"/>
      <c r="Q4" s="91"/>
      <c r="R4" s="34"/>
      <c r="S4" s="64"/>
    </row>
    <row r="5" spans="1:19" x14ac:dyDescent="0.25">
      <c r="A5" s="26">
        <v>43711</v>
      </c>
      <c r="B5" s="78">
        <f t="shared" ref="B5:B24" si="3">A5</f>
        <v>43711</v>
      </c>
      <c r="C5" s="76">
        <v>10000000</v>
      </c>
      <c r="D5" s="65">
        <v>-4.4900000000000001E-3</v>
      </c>
      <c r="E5" s="66">
        <f t="shared" ref="E5:E24" si="4">0.005</f>
        <v>5.0000000000000001E-3</v>
      </c>
      <c r="F5" s="8">
        <v>0</v>
      </c>
      <c r="G5" s="67">
        <v>0.02</v>
      </c>
      <c r="H5" s="8">
        <v>1</v>
      </c>
      <c r="I5" s="73">
        <f t="shared" si="0"/>
        <v>-4.4900000000000001E-3</v>
      </c>
      <c r="J5" s="68">
        <f t="shared" si="1"/>
        <v>-1.2472222222222222E-5</v>
      </c>
      <c r="K5" s="68">
        <f t="shared" ref="K5:K24" si="5">(1+J5)*(1+K4)-1</f>
        <v>-2.4944288888106847E-5</v>
      </c>
      <c r="L5" s="74">
        <f>(K4-K3)*C4</f>
        <v>-124.72222222226215</v>
      </c>
      <c r="M5" s="69">
        <f t="shared" si="2"/>
        <v>1.388888888888889E-5</v>
      </c>
      <c r="N5" s="70">
        <f>M4*C4</f>
        <v>138.88888888888889</v>
      </c>
      <c r="O5" s="79">
        <f>G5*H5/360</f>
        <v>5.5555555555555558E-5</v>
      </c>
      <c r="P5" s="17">
        <f>O4*C4</f>
        <v>555.55555555555554</v>
      </c>
      <c r="Q5" s="37">
        <f>L5+N5</f>
        <v>14.166666666626739</v>
      </c>
      <c r="R5" s="84">
        <f>L5+N5+P5</f>
        <v>569.72222222218227</v>
      </c>
      <c r="S5" s="51">
        <f>'Floored Rate CTB calc'!R5</f>
        <v>569.72222222222217</v>
      </c>
    </row>
    <row r="6" spans="1:19" x14ac:dyDescent="0.25">
      <c r="A6" s="26">
        <v>43712</v>
      </c>
      <c r="B6" s="78">
        <f t="shared" si="3"/>
        <v>43712</v>
      </c>
      <c r="C6" s="76">
        <v>10000000</v>
      </c>
      <c r="D6" s="65">
        <v>-4.5000000000000005E-3</v>
      </c>
      <c r="E6" s="66">
        <f t="shared" si="4"/>
        <v>5.0000000000000001E-3</v>
      </c>
      <c r="F6" s="8">
        <v>0</v>
      </c>
      <c r="G6" s="67">
        <v>0.02</v>
      </c>
      <c r="H6" s="8">
        <v>1</v>
      </c>
      <c r="I6" s="73">
        <f t="shared" si="0"/>
        <v>-4.5000000000000005E-3</v>
      </c>
      <c r="J6" s="68">
        <f t="shared" si="1"/>
        <v>-1.2500000000000002E-5</v>
      </c>
      <c r="K6" s="68">
        <f t="shared" si="5"/>
        <v>-3.7443977084494762E-5</v>
      </c>
      <c r="L6" s="74">
        <f t="shared" ref="L6:L25" si="6">(K5-K4)*C5</f>
        <v>-124.72066665880632</v>
      </c>
      <c r="M6" s="69">
        <f t="shared" si="2"/>
        <v>1.388888888888889E-5</v>
      </c>
      <c r="N6" s="70">
        <f t="shared" ref="N6:N25" si="7">M5*C5</f>
        <v>138.88888888888889</v>
      </c>
      <c r="O6" s="79">
        <f t="shared" ref="O6:O24" si="8">G6*H6/360</f>
        <v>5.5555555555555558E-5</v>
      </c>
      <c r="P6" s="17">
        <f t="shared" ref="P6:P25" si="9">O5*C5</f>
        <v>555.55555555555554</v>
      </c>
      <c r="Q6" s="37">
        <f>L6+N6</f>
        <v>14.168222230082563</v>
      </c>
      <c r="R6" s="84">
        <f t="shared" ref="R6:R25" si="10">L6+N6+P6</f>
        <v>569.72377778563805</v>
      </c>
      <c r="S6" s="51">
        <f>'Floored Rate CTB calc'!R6</f>
        <v>569.72377778549378</v>
      </c>
    </row>
    <row r="7" spans="1:19" x14ac:dyDescent="0.25">
      <c r="A7" s="26">
        <v>43713</v>
      </c>
      <c r="B7" s="78">
        <f t="shared" si="3"/>
        <v>43713</v>
      </c>
      <c r="C7" s="76">
        <v>10000000</v>
      </c>
      <c r="D7" s="65">
        <v>-4.4900000000000001E-3</v>
      </c>
      <c r="E7" s="66">
        <f t="shared" si="4"/>
        <v>5.0000000000000001E-3</v>
      </c>
      <c r="F7" s="8">
        <v>0</v>
      </c>
      <c r="G7" s="67">
        <v>0.02</v>
      </c>
      <c r="H7" s="8">
        <v>1</v>
      </c>
      <c r="I7" s="73">
        <f t="shared" si="0"/>
        <v>-4.4900000000000001E-3</v>
      </c>
      <c r="J7" s="68">
        <f t="shared" si="1"/>
        <v>-1.2472222222222222E-5</v>
      </c>
      <c r="K7" s="68">
        <f t="shared" si="5"/>
        <v>-4.9915732297067805E-5</v>
      </c>
      <c r="L7" s="74">
        <f t="shared" si="6"/>
        <v>-124.99688196387915</v>
      </c>
      <c r="M7" s="69">
        <f t="shared" si="2"/>
        <v>1.388888888888889E-5</v>
      </c>
      <c r="N7" s="70">
        <f t="shared" si="7"/>
        <v>138.88888888888889</v>
      </c>
      <c r="O7" s="79">
        <f t="shared" si="8"/>
        <v>5.5555555555555558E-5</v>
      </c>
      <c r="P7" s="17">
        <f t="shared" si="9"/>
        <v>555.55555555555554</v>
      </c>
      <c r="Q7" s="37">
        <f t="shared" ref="Q7:Q25" si="11">L7+N7</f>
        <v>13.892006925009738</v>
      </c>
      <c r="R7" s="84">
        <f t="shared" si="10"/>
        <v>569.44756248056524</v>
      </c>
      <c r="S7" s="51">
        <f>'Floored Rate CTB calc'!R7</f>
        <v>569.44756248055546</v>
      </c>
    </row>
    <row r="8" spans="1:19" x14ac:dyDescent="0.25">
      <c r="A8" s="26">
        <v>43714</v>
      </c>
      <c r="B8" s="78">
        <f t="shared" si="3"/>
        <v>43714</v>
      </c>
      <c r="C8" s="76">
        <v>10000000</v>
      </c>
      <c r="D8" s="65">
        <v>-4.5000000000000005E-3</v>
      </c>
      <c r="E8" s="66">
        <f t="shared" si="4"/>
        <v>5.0000000000000001E-3</v>
      </c>
      <c r="F8" s="8">
        <v>0</v>
      </c>
      <c r="G8" s="67">
        <v>0.02</v>
      </c>
      <c r="H8" s="8">
        <v>3</v>
      </c>
      <c r="I8" s="73">
        <f t="shared" si="0"/>
        <v>-4.5000000000000005E-3</v>
      </c>
      <c r="J8" s="68">
        <f t="shared" si="1"/>
        <v>-3.7500000000000003E-5</v>
      </c>
      <c r="K8" s="68">
        <f t="shared" si="5"/>
        <v>-8.741386045707511E-5</v>
      </c>
      <c r="L8" s="74">
        <f t="shared" si="6"/>
        <v>-124.71755212573044</v>
      </c>
      <c r="M8" s="69">
        <f t="shared" si="2"/>
        <v>4.1666666666666665E-5</v>
      </c>
      <c r="N8" s="70">
        <f t="shared" si="7"/>
        <v>138.88888888888889</v>
      </c>
      <c r="O8" s="79">
        <f t="shared" si="8"/>
        <v>1.6666666666666666E-4</v>
      </c>
      <c r="P8" s="17">
        <f t="shared" si="9"/>
        <v>555.55555555555554</v>
      </c>
      <c r="Q8" s="37">
        <f t="shared" si="11"/>
        <v>14.17133676315845</v>
      </c>
      <c r="R8" s="84">
        <f t="shared" si="10"/>
        <v>569.72689231871402</v>
      </c>
      <c r="S8" s="51">
        <f>'Floored Rate CTB calc'!R8</f>
        <v>569.72689231825302</v>
      </c>
    </row>
    <row r="9" spans="1:19" x14ac:dyDescent="0.25">
      <c r="A9" s="26">
        <v>43717</v>
      </c>
      <c r="B9" s="78">
        <f t="shared" si="3"/>
        <v>43717</v>
      </c>
      <c r="C9" s="76">
        <v>10000000</v>
      </c>
      <c r="D9" s="65">
        <v>-4.5000000000000005E-3</v>
      </c>
      <c r="E9" s="66">
        <f t="shared" si="4"/>
        <v>5.0000000000000001E-3</v>
      </c>
      <c r="F9" s="8">
        <v>0</v>
      </c>
      <c r="G9" s="67">
        <v>0.02</v>
      </c>
      <c r="H9" s="8">
        <v>1</v>
      </c>
      <c r="I9" s="73">
        <f t="shared" si="0"/>
        <v>-4.5000000000000005E-3</v>
      </c>
      <c r="J9" s="68">
        <f t="shared" si="1"/>
        <v>-1.2500000000000002E-5</v>
      </c>
      <c r="K9" s="68">
        <f t="shared" si="5"/>
        <v>-9.9912767783760792E-5</v>
      </c>
      <c r="L9" s="74">
        <f t="shared" si="6"/>
        <v>-374.98128160007303</v>
      </c>
      <c r="M9" s="69">
        <f t="shared" si="2"/>
        <v>1.388888888888889E-5</v>
      </c>
      <c r="N9" s="70">
        <f t="shared" si="7"/>
        <v>416.66666666666663</v>
      </c>
      <c r="O9" s="79">
        <f t="shared" si="8"/>
        <v>5.5555555555555558E-5</v>
      </c>
      <c r="P9" s="17">
        <f t="shared" si="9"/>
        <v>1666.6666666666665</v>
      </c>
      <c r="Q9" s="37">
        <f t="shared" si="11"/>
        <v>41.685385066593597</v>
      </c>
      <c r="R9" s="84">
        <f t="shared" si="10"/>
        <v>1708.3520517332602</v>
      </c>
      <c r="S9" s="51">
        <f>'Floored Rate CTB calc'!R9</f>
        <v>1708.3520517329446</v>
      </c>
    </row>
    <row r="10" spans="1:19" x14ac:dyDescent="0.25">
      <c r="A10" s="26">
        <v>43718</v>
      </c>
      <c r="B10" s="78">
        <f t="shared" si="3"/>
        <v>43718</v>
      </c>
      <c r="C10" s="76">
        <v>10000000</v>
      </c>
      <c r="D10" s="65">
        <v>-4.5100000000000001E-3</v>
      </c>
      <c r="E10" s="66">
        <f t="shared" si="4"/>
        <v>5.0000000000000001E-3</v>
      </c>
      <c r="F10" s="8">
        <v>0</v>
      </c>
      <c r="G10" s="67">
        <v>0.02</v>
      </c>
      <c r="H10" s="8">
        <v>1</v>
      </c>
      <c r="I10" s="73">
        <f t="shared" si="0"/>
        <v>-4.5100000000000001E-3</v>
      </c>
      <c r="J10" s="68">
        <f t="shared" si="1"/>
        <v>-1.2527777777777778E-5</v>
      </c>
      <c r="K10" s="68">
        <f t="shared" si="5"/>
        <v>-1.1243929387660945E-4</v>
      </c>
      <c r="L10" s="74">
        <f t="shared" si="6"/>
        <v>-124.98907326685682</v>
      </c>
      <c r="M10" s="69">
        <f t="shared" si="2"/>
        <v>1.388888888888889E-5</v>
      </c>
      <c r="N10" s="70">
        <f t="shared" si="7"/>
        <v>138.88888888888889</v>
      </c>
      <c r="O10" s="79">
        <f t="shared" si="8"/>
        <v>5.5555555555555558E-5</v>
      </c>
      <c r="P10" s="17">
        <f t="shared" si="9"/>
        <v>555.55555555555554</v>
      </c>
      <c r="Q10" s="37">
        <f t="shared" si="11"/>
        <v>13.899815622032065</v>
      </c>
      <c r="R10" s="84">
        <f t="shared" si="10"/>
        <v>569.45537117758761</v>
      </c>
      <c r="S10" s="51">
        <f>'Floored Rate CTB calc'!R10</f>
        <v>569.45537117700155</v>
      </c>
    </row>
    <row r="11" spans="1:19" x14ac:dyDescent="0.25">
      <c r="A11" s="26">
        <v>43719</v>
      </c>
      <c r="B11" s="78">
        <f t="shared" si="3"/>
        <v>43719</v>
      </c>
      <c r="C11" s="76">
        <v>10000000</v>
      </c>
      <c r="D11" s="65">
        <v>-4.5000000000000005E-3</v>
      </c>
      <c r="E11" s="66">
        <f t="shared" si="4"/>
        <v>5.0000000000000001E-3</v>
      </c>
      <c r="F11" s="8">
        <v>0</v>
      </c>
      <c r="G11" s="67">
        <v>0.02</v>
      </c>
      <c r="H11" s="8">
        <v>1</v>
      </c>
      <c r="I11" s="73">
        <f t="shared" si="0"/>
        <v>-4.5000000000000005E-3</v>
      </c>
      <c r="J11" s="68">
        <f t="shared" si="1"/>
        <v>-1.2500000000000002E-5</v>
      </c>
      <c r="K11" s="68">
        <f t="shared" si="5"/>
        <v>-1.2493788838541242E-4</v>
      </c>
      <c r="L11" s="74">
        <f t="shared" si="6"/>
        <v>-125.26526092848655</v>
      </c>
      <c r="M11" s="69">
        <f t="shared" si="2"/>
        <v>1.388888888888889E-5</v>
      </c>
      <c r="N11" s="70">
        <f t="shared" si="7"/>
        <v>138.88888888888889</v>
      </c>
      <c r="O11" s="79">
        <f t="shared" si="8"/>
        <v>5.5555555555555558E-5</v>
      </c>
      <c r="P11" s="17">
        <f t="shared" si="9"/>
        <v>555.55555555555554</v>
      </c>
      <c r="Q11" s="37">
        <f t="shared" si="11"/>
        <v>13.623627960402331</v>
      </c>
      <c r="R11" s="84">
        <f t="shared" si="10"/>
        <v>569.1791835159579</v>
      </c>
      <c r="S11" s="51">
        <f>'Floored Rate CTB calc'!R11</f>
        <v>569.17918351618619</v>
      </c>
    </row>
    <row r="12" spans="1:19" x14ac:dyDescent="0.25">
      <c r="A12" s="26">
        <v>43720</v>
      </c>
      <c r="B12" s="78">
        <f t="shared" si="3"/>
        <v>43720</v>
      </c>
      <c r="C12" s="76">
        <v>10000000</v>
      </c>
      <c r="D12" s="65">
        <v>-4.4900000000000001E-3</v>
      </c>
      <c r="E12" s="66">
        <f t="shared" si="4"/>
        <v>5.0000000000000001E-3</v>
      </c>
      <c r="F12" s="8">
        <v>0</v>
      </c>
      <c r="G12" s="67">
        <v>0.02</v>
      </c>
      <c r="H12" s="8">
        <v>1</v>
      </c>
      <c r="I12" s="73">
        <f t="shared" si="0"/>
        <v>-4.4900000000000001E-3</v>
      </c>
      <c r="J12" s="68">
        <f t="shared" si="1"/>
        <v>-1.2472222222222222E-5</v>
      </c>
      <c r="K12" s="68">
        <f t="shared" si="5"/>
        <v>-1.3740855235455651E-4</v>
      </c>
      <c r="L12" s="74">
        <f t="shared" si="6"/>
        <v>-124.98594508802974</v>
      </c>
      <c r="M12" s="69">
        <f t="shared" si="2"/>
        <v>1.388888888888889E-5</v>
      </c>
      <c r="N12" s="70">
        <f t="shared" si="7"/>
        <v>138.88888888888889</v>
      </c>
      <c r="O12" s="79">
        <f t="shared" si="8"/>
        <v>5.5555555555555558E-5</v>
      </c>
      <c r="P12" s="17">
        <f t="shared" si="9"/>
        <v>555.55555555555554</v>
      </c>
      <c r="Q12" s="37">
        <f t="shared" si="11"/>
        <v>13.902943800859148</v>
      </c>
      <c r="R12" s="84">
        <f t="shared" si="10"/>
        <v>569.45849935641468</v>
      </c>
      <c r="S12" s="51">
        <f>'Floored Rate CTB calc'!R12</f>
        <v>569.458499356179</v>
      </c>
    </row>
    <row r="13" spans="1:19" x14ac:dyDescent="0.25">
      <c r="A13" s="26">
        <v>43721</v>
      </c>
      <c r="B13" s="78">
        <f t="shared" si="3"/>
        <v>43721</v>
      </c>
      <c r="C13" s="76">
        <v>10000000</v>
      </c>
      <c r="D13" s="65">
        <v>-4.5100000000000001E-3</v>
      </c>
      <c r="E13" s="66">
        <f t="shared" si="4"/>
        <v>5.0000000000000001E-3</v>
      </c>
      <c r="F13" s="8">
        <v>0</v>
      </c>
      <c r="G13" s="67">
        <v>0.02</v>
      </c>
      <c r="H13" s="8">
        <v>3</v>
      </c>
      <c r="I13" s="73">
        <f t="shared" si="0"/>
        <v>-4.5100000000000001E-3</v>
      </c>
      <c r="J13" s="68">
        <f t="shared" si="1"/>
        <v>-3.7583333333333337E-5</v>
      </c>
      <c r="K13" s="68">
        <f t="shared" si="5"/>
        <v>-1.749867214164702E-4</v>
      </c>
      <c r="L13" s="74">
        <f t="shared" si="6"/>
        <v>-124.70663969144091</v>
      </c>
      <c r="M13" s="69">
        <f t="shared" si="2"/>
        <v>4.1666666666666665E-5</v>
      </c>
      <c r="N13" s="70">
        <f t="shared" si="7"/>
        <v>138.88888888888889</v>
      </c>
      <c r="O13" s="79">
        <f t="shared" si="8"/>
        <v>1.6666666666666666E-4</v>
      </c>
      <c r="P13" s="17">
        <f t="shared" si="9"/>
        <v>555.55555555555554</v>
      </c>
      <c r="Q13" s="37">
        <f t="shared" si="11"/>
        <v>14.182249197447973</v>
      </c>
      <c r="R13" s="84">
        <f t="shared" si="10"/>
        <v>569.7378047530035</v>
      </c>
      <c r="S13" s="51">
        <f>'Floored Rate CTB calc'!R13</f>
        <v>569.73780475330136</v>
      </c>
    </row>
    <row r="14" spans="1:19" x14ac:dyDescent="0.25">
      <c r="A14" s="26">
        <v>43724</v>
      </c>
      <c r="B14" s="78">
        <f t="shared" si="3"/>
        <v>43724</v>
      </c>
      <c r="C14" s="76">
        <v>10000000</v>
      </c>
      <c r="D14" s="65">
        <v>-4.5000000000000005E-3</v>
      </c>
      <c r="E14" s="66">
        <f t="shared" si="4"/>
        <v>5.0000000000000001E-3</v>
      </c>
      <c r="F14" s="8">
        <v>0</v>
      </c>
      <c r="G14" s="67">
        <v>0.02</v>
      </c>
      <c r="H14" s="8">
        <v>1</v>
      </c>
      <c r="I14" s="73">
        <f t="shared" si="0"/>
        <v>-4.5000000000000005E-3</v>
      </c>
      <c r="J14" s="68">
        <f t="shared" si="1"/>
        <v>-1.2500000000000002E-5</v>
      </c>
      <c r="K14" s="68">
        <f t="shared" si="5"/>
        <v>-1.8748453408246046E-4</v>
      </c>
      <c r="L14" s="74">
        <f t="shared" si="6"/>
        <v>-375.7816906191369</v>
      </c>
      <c r="M14" s="69">
        <f t="shared" si="2"/>
        <v>1.388888888888889E-5</v>
      </c>
      <c r="N14" s="70">
        <f t="shared" si="7"/>
        <v>416.66666666666663</v>
      </c>
      <c r="O14" s="79">
        <f t="shared" si="8"/>
        <v>5.5555555555555558E-5</v>
      </c>
      <c r="P14" s="17">
        <f t="shared" si="9"/>
        <v>1666.6666666666665</v>
      </c>
      <c r="Q14" s="37">
        <f t="shared" si="11"/>
        <v>40.884976047529733</v>
      </c>
      <c r="R14" s="84">
        <f t="shared" si="10"/>
        <v>1707.5516427141963</v>
      </c>
      <c r="S14" s="51">
        <f>'Floored Rate CTB calc'!R14</f>
        <v>1707.5516427142597</v>
      </c>
    </row>
    <row r="15" spans="1:19" x14ac:dyDescent="0.25">
      <c r="A15" s="26">
        <v>43725</v>
      </c>
      <c r="B15" s="78">
        <f t="shared" si="3"/>
        <v>43725</v>
      </c>
      <c r="C15" s="76">
        <v>10000000</v>
      </c>
      <c r="D15" s="65">
        <v>-4.5100000000000001E-3</v>
      </c>
      <c r="E15" s="66">
        <f t="shared" si="4"/>
        <v>5.0000000000000001E-3</v>
      </c>
      <c r="F15" s="8">
        <v>0</v>
      </c>
      <c r="G15" s="67">
        <v>0.02</v>
      </c>
      <c r="H15" s="8">
        <v>1</v>
      </c>
      <c r="I15" s="73">
        <f t="shared" si="0"/>
        <v>-4.5100000000000001E-3</v>
      </c>
      <c r="J15" s="68">
        <f t="shared" si="1"/>
        <v>-1.2527777777777778E-5</v>
      </c>
      <c r="K15" s="68">
        <f t="shared" si="5"/>
        <v>-2.0000996309565977E-4</v>
      </c>
      <c r="L15" s="74">
        <f t="shared" si="6"/>
        <v>-124.9781266599026</v>
      </c>
      <c r="M15" s="69">
        <f t="shared" si="2"/>
        <v>1.388888888888889E-5</v>
      </c>
      <c r="N15" s="70">
        <f t="shared" si="7"/>
        <v>138.88888888888889</v>
      </c>
      <c r="O15" s="79">
        <f t="shared" si="8"/>
        <v>5.5555555555555558E-5</v>
      </c>
      <c r="P15" s="17">
        <f t="shared" si="9"/>
        <v>555.55555555555554</v>
      </c>
      <c r="Q15" s="37">
        <f t="shared" si="11"/>
        <v>13.910762228986286</v>
      </c>
      <c r="R15" s="84">
        <f t="shared" si="10"/>
        <v>569.46631778454184</v>
      </c>
      <c r="S15" s="51">
        <f>'Floored Rate CTB calc'!R15</f>
        <v>569.46631778462142</v>
      </c>
    </row>
    <row r="16" spans="1:19" x14ac:dyDescent="0.25">
      <c r="A16" s="26">
        <v>43726</v>
      </c>
      <c r="B16" s="78">
        <f t="shared" si="3"/>
        <v>43726</v>
      </c>
      <c r="C16" s="76">
        <v>10000000</v>
      </c>
      <c r="D16" s="65">
        <v>-5.5200000000000006E-3</v>
      </c>
      <c r="E16" s="66">
        <f t="shared" si="4"/>
        <v>5.0000000000000001E-3</v>
      </c>
      <c r="F16" s="8">
        <v>0</v>
      </c>
      <c r="G16" s="67">
        <v>0.02</v>
      </c>
      <c r="H16" s="8">
        <v>1</v>
      </c>
      <c r="I16" s="73">
        <f t="shared" si="0"/>
        <v>-5.0000000000000001E-3</v>
      </c>
      <c r="J16" s="68">
        <f t="shared" si="1"/>
        <v>-1.388888888888889E-5</v>
      </c>
      <c r="K16" s="68">
        <f t="shared" si="5"/>
        <v>-2.1389607406840927E-4</v>
      </c>
      <c r="L16" s="74">
        <f t="shared" si="6"/>
        <v>-125.25429013199307</v>
      </c>
      <c r="M16" s="69">
        <f t="shared" si="2"/>
        <v>1.388888888888889E-5</v>
      </c>
      <c r="N16" s="70">
        <f t="shared" si="7"/>
        <v>138.88888888888889</v>
      </c>
      <c r="O16" s="79">
        <f t="shared" si="8"/>
        <v>5.5555555555555558E-5</v>
      </c>
      <c r="P16" s="17">
        <f t="shared" si="9"/>
        <v>555.55555555555554</v>
      </c>
      <c r="Q16" s="37">
        <f t="shared" si="11"/>
        <v>13.634598756895812</v>
      </c>
      <c r="R16" s="84">
        <f t="shared" si="10"/>
        <v>569.19015431245134</v>
      </c>
      <c r="S16" s="51">
        <f>'Floored Rate CTB calc'!R16</f>
        <v>569.19015431246419</v>
      </c>
    </row>
    <row r="17" spans="1:19" x14ac:dyDescent="0.25">
      <c r="A17" s="26">
        <v>43727</v>
      </c>
      <c r="B17" s="78">
        <f t="shared" si="3"/>
        <v>43727</v>
      </c>
      <c r="C17" s="76">
        <v>10000000</v>
      </c>
      <c r="D17" s="65">
        <v>-5.5500000000000002E-3</v>
      </c>
      <c r="E17" s="66">
        <f t="shared" si="4"/>
        <v>5.0000000000000001E-3</v>
      </c>
      <c r="F17" s="8">
        <v>0</v>
      </c>
      <c r="G17" s="67">
        <v>0.02</v>
      </c>
      <c r="H17" s="8">
        <v>1</v>
      </c>
      <c r="I17" s="73">
        <f t="shared" si="0"/>
        <v>-5.0000000000000001E-3</v>
      </c>
      <c r="J17" s="68">
        <f t="shared" si="1"/>
        <v>-1.388888888888889E-5</v>
      </c>
      <c r="K17" s="68">
        <f t="shared" si="5"/>
        <v>-2.2778199217843298E-4</v>
      </c>
      <c r="L17" s="74">
        <f t="shared" si="6"/>
        <v>-138.86110972749498</v>
      </c>
      <c r="M17" s="69">
        <f t="shared" si="2"/>
        <v>1.388888888888889E-5</v>
      </c>
      <c r="N17" s="70">
        <f t="shared" si="7"/>
        <v>138.88888888888889</v>
      </c>
      <c r="O17" s="79">
        <f t="shared" si="8"/>
        <v>5.5555555555555558E-5</v>
      </c>
      <c r="P17" s="17">
        <f t="shared" si="9"/>
        <v>555.55555555555554</v>
      </c>
      <c r="Q17" s="37">
        <f t="shared" si="11"/>
        <v>2.777916139390868E-2</v>
      </c>
      <c r="R17" s="84">
        <f t="shared" si="10"/>
        <v>555.58333471694948</v>
      </c>
      <c r="S17" s="51">
        <f>'Floored Rate CTB calc'!R17</f>
        <v>555.58333471709659</v>
      </c>
    </row>
    <row r="18" spans="1:19" x14ac:dyDescent="0.25">
      <c r="A18" s="26">
        <v>43728</v>
      </c>
      <c r="B18" s="78">
        <f t="shared" si="3"/>
        <v>43728</v>
      </c>
      <c r="C18" s="76">
        <v>10000000</v>
      </c>
      <c r="D18" s="65">
        <v>-5.5300000000000002E-3</v>
      </c>
      <c r="E18" s="66">
        <f t="shared" si="4"/>
        <v>5.0000000000000001E-3</v>
      </c>
      <c r="F18" s="8">
        <v>0</v>
      </c>
      <c r="G18" s="67">
        <v>0.02</v>
      </c>
      <c r="H18" s="8">
        <v>3</v>
      </c>
      <c r="I18" s="73">
        <f t="shared" si="0"/>
        <v>-5.0000000000000001E-3</v>
      </c>
      <c r="J18" s="68">
        <f t="shared" si="1"/>
        <v>-4.1666666666666665E-5</v>
      </c>
      <c r="K18" s="68">
        <f t="shared" si="5"/>
        <v>-2.6943916792876443E-4</v>
      </c>
      <c r="L18" s="74">
        <f t="shared" si="6"/>
        <v>-138.85918110023709</v>
      </c>
      <c r="M18" s="69">
        <f t="shared" si="2"/>
        <v>4.1666666666666665E-5</v>
      </c>
      <c r="N18" s="70">
        <f t="shared" si="7"/>
        <v>138.88888888888889</v>
      </c>
      <c r="O18" s="79">
        <f t="shared" si="8"/>
        <v>1.6666666666666666E-4</v>
      </c>
      <c r="P18" s="17">
        <f t="shared" si="9"/>
        <v>555.55555555555554</v>
      </c>
      <c r="Q18" s="37">
        <f t="shared" si="11"/>
        <v>2.9707788651791134E-2</v>
      </c>
      <c r="R18" s="84">
        <f t="shared" si="10"/>
        <v>555.58526334420731</v>
      </c>
      <c r="S18" s="51">
        <f>'Floored Rate CTB calc'!R18</f>
        <v>555.58526334362057</v>
      </c>
    </row>
    <row r="19" spans="1:19" x14ac:dyDescent="0.25">
      <c r="A19" s="26">
        <v>43731</v>
      </c>
      <c r="B19" s="78">
        <f t="shared" si="3"/>
        <v>43731</v>
      </c>
      <c r="C19" s="76">
        <v>10000000</v>
      </c>
      <c r="D19" s="65">
        <v>-5.5400000000000007E-3</v>
      </c>
      <c r="E19" s="66">
        <f t="shared" si="4"/>
        <v>5.0000000000000001E-3</v>
      </c>
      <c r="F19" s="8">
        <v>0</v>
      </c>
      <c r="G19" s="67">
        <v>0.02</v>
      </c>
      <c r="H19" s="8">
        <v>1</v>
      </c>
      <c r="I19" s="73">
        <f t="shared" si="0"/>
        <v>-5.0000000000000001E-3</v>
      </c>
      <c r="J19" s="68">
        <f t="shared" si="1"/>
        <v>-1.388888888888889E-5</v>
      </c>
      <c r="K19" s="68">
        <f t="shared" si="5"/>
        <v>-2.8332431460698082E-4</v>
      </c>
      <c r="L19" s="74">
        <f t="shared" si="6"/>
        <v>-416.57175750331453</v>
      </c>
      <c r="M19" s="69">
        <f t="shared" si="2"/>
        <v>1.388888888888889E-5</v>
      </c>
      <c r="N19" s="70">
        <f t="shared" si="7"/>
        <v>416.66666666666663</v>
      </c>
      <c r="O19" s="79">
        <f t="shared" si="8"/>
        <v>5.5555555555555558E-5</v>
      </c>
      <c r="P19" s="17">
        <f t="shared" si="9"/>
        <v>1666.6666666666665</v>
      </c>
      <c r="Q19" s="37">
        <f t="shared" si="11"/>
        <v>9.4909163352099313E-2</v>
      </c>
      <c r="R19" s="84">
        <f t="shared" si="10"/>
        <v>1666.7615758300185</v>
      </c>
      <c r="S19" s="51">
        <f>'Floored Rate CTB calc'!R19</f>
        <v>1666.7615758300742</v>
      </c>
    </row>
    <row r="20" spans="1:19" x14ac:dyDescent="0.25">
      <c r="A20" s="26">
        <v>43732</v>
      </c>
      <c r="B20" s="78">
        <f t="shared" si="3"/>
        <v>43732</v>
      </c>
      <c r="C20" s="76">
        <v>10000000</v>
      </c>
      <c r="D20" s="65">
        <v>-5.5200000000000006E-3</v>
      </c>
      <c r="E20" s="66">
        <f t="shared" si="4"/>
        <v>5.0000000000000001E-3</v>
      </c>
      <c r="F20" s="8">
        <v>0</v>
      </c>
      <c r="G20" s="67">
        <v>0.02</v>
      </c>
      <c r="H20" s="8">
        <v>1</v>
      </c>
      <c r="I20" s="73">
        <f t="shared" si="0"/>
        <v>-5.0000000000000001E-3</v>
      </c>
      <c r="J20" s="68">
        <f t="shared" si="1"/>
        <v>-1.388888888888889E-5</v>
      </c>
      <c r="K20" s="68">
        <f t="shared" si="5"/>
        <v>-2.9720926843590512E-4</v>
      </c>
      <c r="L20" s="74">
        <f t="shared" si="6"/>
        <v>-138.85146678216387</v>
      </c>
      <c r="M20" s="69">
        <f t="shared" si="2"/>
        <v>1.388888888888889E-5</v>
      </c>
      <c r="N20" s="70">
        <f t="shared" si="7"/>
        <v>138.88888888888889</v>
      </c>
      <c r="O20" s="79">
        <f t="shared" si="8"/>
        <v>5.5555555555555558E-5</v>
      </c>
      <c r="P20" s="17">
        <f t="shared" si="9"/>
        <v>555.55555555555554</v>
      </c>
      <c r="Q20" s="37">
        <f t="shared" si="11"/>
        <v>3.7422106725017557E-2</v>
      </c>
      <c r="R20" s="84">
        <f t="shared" si="10"/>
        <v>555.59297766228053</v>
      </c>
      <c r="S20" s="51">
        <f>'Floored Rate CTB calc'!R20</f>
        <v>555.59297766221232</v>
      </c>
    </row>
    <row r="21" spans="1:19" x14ac:dyDescent="0.25">
      <c r="A21" s="26">
        <v>43733</v>
      </c>
      <c r="B21" s="78">
        <f t="shared" si="3"/>
        <v>43733</v>
      </c>
      <c r="C21" s="76">
        <v>10000000</v>
      </c>
      <c r="D21" s="65">
        <v>-5.5300000000000002E-3</v>
      </c>
      <c r="E21" s="66">
        <f t="shared" si="4"/>
        <v>5.0000000000000001E-3</v>
      </c>
      <c r="F21" s="8">
        <v>0</v>
      </c>
      <c r="G21" s="67">
        <v>0.02</v>
      </c>
      <c r="H21" s="8">
        <v>1</v>
      </c>
      <c r="I21" s="73">
        <f t="shared" si="0"/>
        <v>-5.0000000000000001E-3</v>
      </c>
      <c r="J21" s="68">
        <f t="shared" si="1"/>
        <v>-1.388888888888889E-5</v>
      </c>
      <c r="K21" s="68">
        <f t="shared" si="5"/>
        <v>-3.1109402941831288E-4</v>
      </c>
      <c r="L21" s="74">
        <f t="shared" si="6"/>
        <v>-138.84953828924296</v>
      </c>
      <c r="M21" s="69">
        <f t="shared" si="2"/>
        <v>1.388888888888889E-5</v>
      </c>
      <c r="N21" s="70">
        <f t="shared" si="7"/>
        <v>138.88888888888889</v>
      </c>
      <c r="O21" s="79">
        <f t="shared" si="8"/>
        <v>5.5555555555555558E-5</v>
      </c>
      <c r="P21" s="17">
        <f t="shared" si="9"/>
        <v>555.55555555555554</v>
      </c>
      <c r="Q21" s="37">
        <f t="shared" si="11"/>
        <v>3.9350599645928241E-2</v>
      </c>
      <c r="R21" s="84">
        <f t="shared" si="10"/>
        <v>555.59490615520144</v>
      </c>
      <c r="S21" s="51">
        <f>'Floored Rate CTB calc'!R21</f>
        <v>555.59490615480649</v>
      </c>
    </row>
    <row r="22" spans="1:19" x14ac:dyDescent="0.25">
      <c r="A22" s="26">
        <v>43734</v>
      </c>
      <c r="B22" s="78">
        <f t="shared" si="3"/>
        <v>43734</v>
      </c>
      <c r="C22" s="76">
        <v>10000000</v>
      </c>
      <c r="D22" s="65">
        <v>-5.4900000000000001E-3</v>
      </c>
      <c r="E22" s="66">
        <f t="shared" si="4"/>
        <v>5.0000000000000001E-3</v>
      </c>
      <c r="F22" s="8">
        <v>0</v>
      </c>
      <c r="G22" s="67">
        <v>0.02</v>
      </c>
      <c r="H22" s="8">
        <v>1</v>
      </c>
      <c r="I22" s="73">
        <f t="shared" si="0"/>
        <v>-5.0000000000000001E-3</v>
      </c>
      <c r="J22" s="68">
        <f t="shared" si="1"/>
        <v>-1.388888888888889E-5</v>
      </c>
      <c r="K22" s="68">
        <f t="shared" si="5"/>
        <v>-3.2497859755675762E-4</v>
      </c>
      <c r="L22" s="74">
        <f t="shared" si="6"/>
        <v>-138.84760982407761</v>
      </c>
      <c r="M22" s="69">
        <f t="shared" si="2"/>
        <v>1.388888888888889E-5</v>
      </c>
      <c r="N22" s="70">
        <f t="shared" si="7"/>
        <v>138.88888888888889</v>
      </c>
      <c r="O22" s="79">
        <f t="shared" si="8"/>
        <v>5.5555555555555558E-5</v>
      </c>
      <c r="P22" s="17">
        <f t="shared" si="9"/>
        <v>555.55555555555554</v>
      </c>
      <c r="Q22" s="37">
        <f t="shared" si="11"/>
        <v>4.1279064811277522E-2</v>
      </c>
      <c r="R22" s="84">
        <f t="shared" si="10"/>
        <v>555.59683462036685</v>
      </c>
      <c r="S22" s="51">
        <f>'Floored Rate CTB calc'!R22</f>
        <v>555.59683462061605</v>
      </c>
    </row>
    <row r="23" spans="1:19" x14ac:dyDescent="0.25">
      <c r="A23" s="26">
        <v>43735</v>
      </c>
      <c r="B23" s="78">
        <f t="shared" si="3"/>
        <v>43735</v>
      </c>
      <c r="C23" s="76">
        <v>10000000</v>
      </c>
      <c r="D23" s="65">
        <v>-5.47E-3</v>
      </c>
      <c r="E23" s="66">
        <f t="shared" si="4"/>
        <v>5.0000000000000001E-3</v>
      </c>
      <c r="F23" s="8">
        <v>0</v>
      </c>
      <c r="G23" s="67">
        <v>0.02</v>
      </c>
      <c r="H23" s="8">
        <v>3</v>
      </c>
      <c r="I23" s="73">
        <f t="shared" si="0"/>
        <v>-5.0000000000000001E-3</v>
      </c>
      <c r="J23" s="68">
        <f t="shared" si="1"/>
        <v>-4.1666666666666665E-5</v>
      </c>
      <c r="K23" s="68">
        <f t="shared" si="5"/>
        <v>-3.6663172344852946E-4</v>
      </c>
      <c r="L23" s="74">
        <f t="shared" si="6"/>
        <v>-138.8456813844474</v>
      </c>
      <c r="M23" s="69">
        <f t="shared" si="2"/>
        <v>4.1666666666666665E-5</v>
      </c>
      <c r="N23" s="70">
        <f t="shared" si="7"/>
        <v>138.88888888888889</v>
      </c>
      <c r="O23" s="79">
        <f t="shared" si="8"/>
        <v>1.6666666666666666E-4</v>
      </c>
      <c r="P23" s="17">
        <f t="shared" si="9"/>
        <v>555.55555555555554</v>
      </c>
      <c r="Q23" s="37">
        <f t="shared" si="11"/>
        <v>4.3207504441483024E-2</v>
      </c>
      <c r="R23" s="84">
        <f t="shared" si="10"/>
        <v>555.59876305999705</v>
      </c>
      <c r="S23" s="51">
        <f>'Floored Rate CTB calc'!R23</f>
        <v>555.59876305964144</v>
      </c>
    </row>
    <row r="24" spans="1:19" x14ac:dyDescent="0.25">
      <c r="A24" s="26">
        <v>43738</v>
      </c>
      <c r="B24" s="78">
        <f t="shared" si="3"/>
        <v>43738</v>
      </c>
      <c r="C24" s="76">
        <v>10000000</v>
      </c>
      <c r="D24" s="65">
        <v>-5.4900000000000001E-3</v>
      </c>
      <c r="E24" s="66">
        <f t="shared" si="4"/>
        <v>5.0000000000000001E-3</v>
      </c>
      <c r="F24" s="8">
        <v>0</v>
      </c>
      <c r="G24" s="67">
        <v>0.02</v>
      </c>
      <c r="H24" s="8">
        <v>1</v>
      </c>
      <c r="I24" s="73">
        <f t="shared" si="0"/>
        <v>-5.0000000000000001E-3</v>
      </c>
      <c r="J24" s="68">
        <f t="shared" si="1"/>
        <v>-1.388888888888889E-5</v>
      </c>
      <c r="K24" s="68">
        <f t="shared" si="5"/>
        <v>-3.8051552023010693E-4</v>
      </c>
      <c r="L24" s="74">
        <f t="shared" si="6"/>
        <v>-416.53125891771833</v>
      </c>
      <c r="M24" s="69">
        <f t="shared" si="2"/>
        <v>1.388888888888889E-5</v>
      </c>
      <c r="N24" s="70">
        <f t="shared" si="7"/>
        <v>416.66666666666663</v>
      </c>
      <c r="O24" s="79">
        <f t="shared" si="8"/>
        <v>5.5555555555555558E-5</v>
      </c>
      <c r="P24" s="17">
        <f t="shared" si="9"/>
        <v>1666.6666666666665</v>
      </c>
      <c r="Q24" s="37">
        <f t="shared" si="11"/>
        <v>0.1354077489482961</v>
      </c>
      <c r="R24" s="84">
        <f t="shared" si="10"/>
        <v>1666.8020744156147</v>
      </c>
      <c r="S24" s="51">
        <f>'Floored Rate CTB calc'!R24</f>
        <v>1666.8020744156486</v>
      </c>
    </row>
    <row r="25" spans="1:19" ht="15.75" thickBot="1" x14ac:dyDescent="0.3">
      <c r="A25" s="30">
        <v>43739</v>
      </c>
      <c r="B25" s="43" t="s">
        <v>9</v>
      </c>
      <c r="C25" s="43" t="s">
        <v>9</v>
      </c>
      <c r="D25" s="43" t="s">
        <v>9</v>
      </c>
      <c r="E25" s="43" t="s">
        <v>9</v>
      </c>
      <c r="F25" s="43" t="s">
        <v>9</v>
      </c>
      <c r="G25" s="43" t="s">
        <v>9</v>
      </c>
      <c r="H25" s="43" t="s">
        <v>9</v>
      </c>
      <c r="I25" s="89" t="s">
        <v>9</v>
      </c>
      <c r="J25" s="45" t="s">
        <v>9</v>
      </c>
      <c r="K25" s="45" t="s">
        <v>9</v>
      </c>
      <c r="L25" s="90">
        <f t="shared" si="6"/>
        <v>-138.83796781577473</v>
      </c>
      <c r="M25" s="80" t="s">
        <v>9</v>
      </c>
      <c r="N25" s="31">
        <f t="shared" si="7"/>
        <v>138.88888888888889</v>
      </c>
      <c r="O25" s="80" t="s">
        <v>9</v>
      </c>
      <c r="P25" s="81">
        <f t="shared" si="9"/>
        <v>555.55555555555554</v>
      </c>
      <c r="Q25" s="38">
        <f t="shared" si="11"/>
        <v>5.0921073114153614E-2</v>
      </c>
      <c r="R25" s="92">
        <f t="shared" si="10"/>
        <v>555.60647662866972</v>
      </c>
      <c r="S25" s="52">
        <f>'Floored Rate CTB calc'!R25</f>
        <v>555.6064766282567</v>
      </c>
    </row>
    <row r="26" spans="1:19" ht="45" x14ac:dyDescent="0.25">
      <c r="R26" s="93" t="s">
        <v>4</v>
      </c>
      <c r="S26" s="64" t="s">
        <v>4</v>
      </c>
    </row>
    <row r="27" spans="1:19" ht="15.75" thickBot="1" x14ac:dyDescent="0.3">
      <c r="R27" s="94">
        <f>SUM(R5:R25)</f>
        <v>16333.733686587819</v>
      </c>
      <c r="S27" s="95">
        <f>SUM(S5:S25)</f>
        <v>16333.733686585456</v>
      </c>
    </row>
  </sheetData>
  <sheetProtection algorithmName="SHA-512" hashValue="rb+yvtVWIqiuoleK5BiKT5URe2fGqhCNmUaMdbfIvu5Ap+S7hmwzmCUIrSEeyUm3OAZ+fDKiuBMGiJkA4AuhMg==" saltValue="zwYSS5QkopA8lOBiBkVXSg==" spinCount="100000" sheet="1" objects="1" scenarios="1"/>
  <mergeCells count="2">
    <mergeCell ref="A1:H1"/>
    <mergeCell ref="I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K1" workbookViewId="0">
      <pane ySplit="3" topLeftCell="A13" activePane="bottomLeft" state="frozen"/>
      <selection pane="bottomLeft" activeCell="N22" sqref="N22"/>
    </sheetView>
  </sheetViews>
  <sheetFormatPr defaultRowHeight="15" x14ac:dyDescent="0.25"/>
  <cols>
    <col min="1" max="1" width="28.28515625" style="2" customWidth="1"/>
    <col min="2" max="2" width="16.140625" style="2" customWidth="1"/>
    <col min="3" max="3" width="18.140625" style="5" customWidth="1"/>
    <col min="4" max="4" width="9.42578125" customWidth="1"/>
    <col min="5" max="5" width="11.5703125" style="1" customWidth="1"/>
    <col min="6" max="6" width="8.7109375" style="1"/>
    <col min="7" max="7" width="10.42578125" customWidth="1"/>
    <col min="8" max="8" width="9.5703125" style="1" customWidth="1"/>
    <col min="9" max="9" width="8.7109375" style="1"/>
    <col min="10" max="12" width="13.85546875" style="1" customWidth="1"/>
    <col min="13" max="16" width="15.42578125" style="18" customWidth="1"/>
    <col min="17" max="17" width="17.5703125" style="1" customWidth="1"/>
    <col min="18" max="18" width="18.85546875" style="1" customWidth="1"/>
    <col min="19" max="19" width="12.5703125" customWidth="1"/>
    <col min="20" max="20" width="15.5703125" customWidth="1"/>
    <col min="21" max="21" width="12.42578125" customWidth="1"/>
  </cols>
  <sheetData>
    <row r="1" spans="1:19" ht="18.75" x14ac:dyDescent="0.3">
      <c r="A1" s="96" t="s">
        <v>16</v>
      </c>
      <c r="B1" s="97"/>
      <c r="C1" s="97"/>
      <c r="D1" s="97"/>
      <c r="E1" s="97"/>
      <c r="F1" s="97"/>
      <c r="G1" s="97"/>
      <c r="H1" s="98"/>
      <c r="I1" s="99" t="s">
        <v>17</v>
      </c>
      <c r="J1" s="100"/>
      <c r="K1" s="100"/>
      <c r="L1" s="101"/>
      <c r="M1" s="85" t="s">
        <v>27</v>
      </c>
      <c r="N1" s="86"/>
      <c r="O1" s="87"/>
      <c r="P1" s="88"/>
      <c r="Q1" s="32"/>
      <c r="R1" s="83"/>
      <c r="S1" s="48"/>
    </row>
    <row r="2" spans="1:19" ht="66.599999999999994" customHeight="1" x14ac:dyDescent="0.35">
      <c r="A2" s="24" t="s">
        <v>11</v>
      </c>
      <c r="B2" s="53" t="s">
        <v>19</v>
      </c>
      <c r="C2" s="9" t="s">
        <v>12</v>
      </c>
      <c r="D2" s="11" t="s">
        <v>13</v>
      </c>
      <c r="E2" s="11" t="s">
        <v>5</v>
      </c>
      <c r="F2" s="11" t="s">
        <v>14</v>
      </c>
      <c r="G2" s="9" t="s">
        <v>20</v>
      </c>
      <c r="H2" s="27" t="s">
        <v>10</v>
      </c>
      <c r="I2" s="12" t="s">
        <v>6</v>
      </c>
      <c r="J2" s="12" t="s">
        <v>7</v>
      </c>
      <c r="K2" s="12" t="s">
        <v>3</v>
      </c>
      <c r="L2" s="12" t="s">
        <v>2</v>
      </c>
      <c r="M2" s="39" t="s">
        <v>0</v>
      </c>
      <c r="N2" s="16" t="s">
        <v>8</v>
      </c>
      <c r="O2" s="16" t="s">
        <v>23</v>
      </c>
      <c r="P2" s="16" t="s">
        <v>24</v>
      </c>
      <c r="Q2" s="33" t="s">
        <v>15</v>
      </c>
      <c r="R2" s="34" t="s">
        <v>25</v>
      </c>
      <c r="S2" s="49" t="s">
        <v>22</v>
      </c>
    </row>
    <row r="3" spans="1:19" ht="5.0999999999999996" customHeight="1" thickBot="1" x14ac:dyDescent="0.3">
      <c r="A3" s="25"/>
      <c r="B3" s="19"/>
      <c r="C3" s="20"/>
      <c r="D3" s="21"/>
      <c r="E3" s="21"/>
      <c r="F3" s="21"/>
      <c r="G3" s="21"/>
      <c r="H3" s="28"/>
      <c r="I3" s="22"/>
      <c r="J3" s="22"/>
      <c r="K3" s="22"/>
      <c r="L3" s="22"/>
      <c r="M3" s="40"/>
      <c r="N3" s="23"/>
      <c r="O3" s="23"/>
      <c r="P3" s="23"/>
      <c r="Q3" s="35"/>
      <c r="R3" s="36"/>
      <c r="S3" s="50"/>
    </row>
    <row r="4" spans="1:19" x14ac:dyDescent="0.25">
      <c r="A4" s="26">
        <v>43710</v>
      </c>
      <c r="B4" s="77">
        <f>A4</f>
        <v>43710</v>
      </c>
      <c r="C4" s="75">
        <v>10000000</v>
      </c>
      <c r="D4" s="6">
        <v>-4.4900000000000001E-3</v>
      </c>
      <c r="E4" s="10">
        <f>0.005</f>
        <v>5.0000000000000001E-3</v>
      </c>
      <c r="F4" s="7">
        <v>0</v>
      </c>
      <c r="G4" s="54">
        <v>0.02</v>
      </c>
      <c r="H4" s="29">
        <v>1</v>
      </c>
      <c r="I4" s="13">
        <f t="shared" ref="I4:I24" si="0">MAX(D4,F4-E4)</f>
        <v>-4.4900000000000001E-3</v>
      </c>
      <c r="J4" s="14">
        <f t="shared" ref="J4:J24" si="1">H4*I4/360</f>
        <v>-1.2472222222222222E-5</v>
      </c>
      <c r="K4" s="12"/>
      <c r="L4" s="12"/>
      <c r="M4" s="41">
        <f t="shared" ref="M4:M24" si="2">E4*H4/360</f>
        <v>1.388888888888889E-5</v>
      </c>
      <c r="N4" s="16"/>
      <c r="O4" s="79">
        <f>G4*H4/360</f>
        <v>5.5555555555555558E-5</v>
      </c>
      <c r="P4" s="16"/>
      <c r="Q4" s="33"/>
      <c r="R4" s="34"/>
      <c r="S4" s="49"/>
    </row>
    <row r="5" spans="1:19" x14ac:dyDescent="0.25">
      <c r="A5" s="26">
        <v>43711</v>
      </c>
      <c r="B5" s="78">
        <f t="shared" ref="B5:B24" si="3">A5</f>
        <v>43711</v>
      </c>
      <c r="C5" s="76">
        <v>10000000</v>
      </c>
      <c r="D5" s="6">
        <v>-4.4900000000000001E-3</v>
      </c>
      <c r="E5" s="10">
        <f t="shared" ref="E5:E24" si="4">0.005</f>
        <v>5.0000000000000001E-3</v>
      </c>
      <c r="F5" s="7">
        <v>0</v>
      </c>
      <c r="G5" s="54">
        <v>0.02</v>
      </c>
      <c r="H5" s="29">
        <v>1</v>
      </c>
      <c r="I5" s="13">
        <f t="shared" si="0"/>
        <v>-4.4900000000000001E-3</v>
      </c>
      <c r="J5" s="14">
        <f t="shared" si="1"/>
        <v>-1.2472222222222222E-5</v>
      </c>
      <c r="K5" s="15">
        <f>L5</f>
        <v>-124.72222222222221</v>
      </c>
      <c r="L5" s="15">
        <f>J4*C4</f>
        <v>-124.72222222222221</v>
      </c>
      <c r="M5" s="41">
        <f t="shared" si="2"/>
        <v>1.388888888888889E-5</v>
      </c>
      <c r="N5" s="17">
        <f t="shared" ref="N5:N25" si="5">M4*C4</f>
        <v>138.88888888888889</v>
      </c>
      <c r="O5" s="79">
        <f>G5*H5/360</f>
        <v>5.5555555555555558E-5</v>
      </c>
      <c r="P5" s="17">
        <f>O4*C4</f>
        <v>555.55555555555554</v>
      </c>
      <c r="Q5" s="37">
        <f t="shared" ref="Q5:Q25" si="6">L5+N5</f>
        <v>14.166666666666671</v>
      </c>
      <c r="R5" s="84">
        <f>L5+N5+P5</f>
        <v>569.72222222222217</v>
      </c>
      <c r="S5" s="56">
        <f>'Floored Rate NCCR calc'!R5</f>
        <v>569.72222222218227</v>
      </c>
    </row>
    <row r="6" spans="1:19" x14ac:dyDescent="0.25">
      <c r="A6" s="26">
        <v>43712</v>
      </c>
      <c r="B6" s="78">
        <f t="shared" si="3"/>
        <v>43712</v>
      </c>
      <c r="C6" s="76">
        <v>10000000</v>
      </c>
      <c r="D6" s="6">
        <v>-4.5000000000000005E-3</v>
      </c>
      <c r="E6" s="10">
        <f t="shared" si="4"/>
        <v>5.0000000000000001E-3</v>
      </c>
      <c r="F6" s="7">
        <v>0</v>
      </c>
      <c r="G6" s="54">
        <v>0.02</v>
      </c>
      <c r="H6" s="29">
        <v>1</v>
      </c>
      <c r="I6" s="13">
        <f t="shared" si="0"/>
        <v>-4.5000000000000005E-3</v>
      </c>
      <c r="J6" s="14">
        <f t="shared" si="1"/>
        <v>-1.2500000000000002E-5</v>
      </c>
      <c r="K6" s="15">
        <f t="shared" ref="K6:K25" si="7" xml:space="preserve"> L6+K5</f>
        <v>-249.44288888117285</v>
      </c>
      <c r="L6" s="15">
        <f t="shared" ref="L6:L25" si="8">J5*(C5+K5)</f>
        <v>-124.72066665895062</v>
      </c>
      <c r="M6" s="41">
        <f t="shared" si="2"/>
        <v>1.388888888888889E-5</v>
      </c>
      <c r="N6" s="17">
        <f t="shared" si="5"/>
        <v>138.88888888888889</v>
      </c>
      <c r="O6" s="79">
        <f t="shared" ref="O6:O24" si="9">G6*H6/360</f>
        <v>5.5555555555555558E-5</v>
      </c>
      <c r="P6" s="17">
        <f t="shared" ref="P6:P25" si="10">O5*C5</f>
        <v>555.55555555555554</v>
      </c>
      <c r="Q6" s="37">
        <f t="shared" si="6"/>
        <v>14.168222229938266</v>
      </c>
      <c r="R6" s="84">
        <f t="shared" ref="R6:R25" si="11">L6+N6+P6</f>
        <v>569.72377778549378</v>
      </c>
      <c r="S6" s="56">
        <f>'Floored Rate NCCR calc'!R6</f>
        <v>569.72377778563805</v>
      </c>
    </row>
    <row r="7" spans="1:19" x14ac:dyDescent="0.25">
      <c r="A7" s="26">
        <v>43713</v>
      </c>
      <c r="B7" s="78">
        <f t="shared" si="3"/>
        <v>43713</v>
      </c>
      <c r="C7" s="76">
        <v>10000000</v>
      </c>
      <c r="D7" s="6">
        <v>-4.4900000000000001E-3</v>
      </c>
      <c r="E7" s="10">
        <f t="shared" si="4"/>
        <v>5.0000000000000001E-3</v>
      </c>
      <c r="F7" s="7">
        <v>0</v>
      </c>
      <c r="G7" s="54">
        <v>0.02</v>
      </c>
      <c r="H7" s="29">
        <v>1</v>
      </c>
      <c r="I7" s="13">
        <f t="shared" si="0"/>
        <v>-4.4900000000000001E-3</v>
      </c>
      <c r="J7" s="14">
        <f t="shared" si="1"/>
        <v>-1.2472222222222222E-5</v>
      </c>
      <c r="K7" s="15">
        <f t="shared" si="7"/>
        <v>-374.43977084506184</v>
      </c>
      <c r="L7" s="15">
        <f t="shared" si="8"/>
        <v>-124.996881963889</v>
      </c>
      <c r="M7" s="41">
        <f t="shared" si="2"/>
        <v>1.388888888888889E-5</v>
      </c>
      <c r="N7" s="17">
        <f t="shared" si="5"/>
        <v>138.88888888888889</v>
      </c>
      <c r="O7" s="79">
        <f t="shared" si="9"/>
        <v>5.5555555555555558E-5</v>
      </c>
      <c r="P7" s="17">
        <f t="shared" si="10"/>
        <v>555.55555555555554</v>
      </c>
      <c r="Q7" s="37">
        <f t="shared" si="6"/>
        <v>13.89200692499989</v>
      </c>
      <c r="R7" s="84">
        <f t="shared" si="11"/>
        <v>569.44756248055546</v>
      </c>
      <c r="S7" s="56">
        <f>'Floored Rate NCCR calc'!R7</f>
        <v>569.44756248056524</v>
      </c>
    </row>
    <row r="8" spans="1:19" x14ac:dyDescent="0.25">
      <c r="A8" s="26">
        <v>43714</v>
      </c>
      <c r="B8" s="78">
        <f t="shared" si="3"/>
        <v>43714</v>
      </c>
      <c r="C8" s="76">
        <v>10000000</v>
      </c>
      <c r="D8" s="6">
        <v>-4.5000000000000005E-3</v>
      </c>
      <c r="E8" s="10">
        <f t="shared" si="4"/>
        <v>5.0000000000000001E-3</v>
      </c>
      <c r="F8" s="7">
        <v>0</v>
      </c>
      <c r="G8" s="54">
        <v>0.02</v>
      </c>
      <c r="H8" s="29">
        <v>3</v>
      </c>
      <c r="I8" s="13">
        <f t="shared" si="0"/>
        <v>-4.5000000000000005E-3</v>
      </c>
      <c r="J8" s="14">
        <f t="shared" si="1"/>
        <v>-3.7500000000000003E-5</v>
      </c>
      <c r="K8" s="15">
        <f t="shared" si="7"/>
        <v>-499.15732297125322</v>
      </c>
      <c r="L8" s="15">
        <f t="shared" si="8"/>
        <v>-124.71755212619139</v>
      </c>
      <c r="M8" s="41">
        <f t="shared" si="2"/>
        <v>4.1666666666666665E-5</v>
      </c>
      <c r="N8" s="17">
        <f t="shared" si="5"/>
        <v>138.88888888888889</v>
      </c>
      <c r="O8" s="79">
        <f t="shared" si="9"/>
        <v>1.6666666666666666E-4</v>
      </c>
      <c r="P8" s="17">
        <f t="shared" si="10"/>
        <v>555.55555555555554</v>
      </c>
      <c r="Q8" s="37">
        <f t="shared" si="6"/>
        <v>14.171336762697493</v>
      </c>
      <c r="R8" s="84">
        <f t="shared" si="11"/>
        <v>569.72689231825302</v>
      </c>
      <c r="S8" s="56">
        <f>'Floored Rate NCCR calc'!R8</f>
        <v>569.72689231871402</v>
      </c>
    </row>
    <row r="9" spans="1:19" x14ac:dyDescent="0.25">
      <c r="A9" s="26">
        <v>43717</v>
      </c>
      <c r="B9" s="78">
        <f t="shared" si="3"/>
        <v>43717</v>
      </c>
      <c r="C9" s="76">
        <v>10000000</v>
      </c>
      <c r="D9" s="6">
        <v>-4.5000000000000005E-3</v>
      </c>
      <c r="E9" s="10">
        <f t="shared" si="4"/>
        <v>5.0000000000000001E-3</v>
      </c>
      <c r="F9" s="7">
        <v>0</v>
      </c>
      <c r="G9" s="54">
        <v>0.02</v>
      </c>
      <c r="H9" s="29">
        <v>1</v>
      </c>
      <c r="I9" s="13">
        <f t="shared" si="0"/>
        <v>-4.5000000000000005E-3</v>
      </c>
      <c r="J9" s="14">
        <f t="shared" si="1"/>
        <v>-1.2500000000000002E-5</v>
      </c>
      <c r="K9" s="15">
        <f t="shared" si="7"/>
        <v>-874.13860457164185</v>
      </c>
      <c r="L9" s="15">
        <f t="shared" si="8"/>
        <v>-374.98128160038863</v>
      </c>
      <c r="M9" s="41">
        <f t="shared" si="2"/>
        <v>1.388888888888889E-5</v>
      </c>
      <c r="N9" s="17">
        <f t="shared" si="5"/>
        <v>416.66666666666663</v>
      </c>
      <c r="O9" s="79">
        <f t="shared" si="9"/>
        <v>5.5555555555555558E-5</v>
      </c>
      <c r="P9" s="17">
        <f t="shared" si="10"/>
        <v>1666.6666666666665</v>
      </c>
      <c r="Q9" s="37">
        <f t="shared" si="6"/>
        <v>41.685385066278002</v>
      </c>
      <c r="R9" s="84">
        <f t="shared" si="11"/>
        <v>1708.3520517329446</v>
      </c>
      <c r="S9" s="56">
        <f>'Floored Rate NCCR calc'!R9</f>
        <v>1708.3520517332602</v>
      </c>
    </row>
    <row r="10" spans="1:19" x14ac:dyDescent="0.25">
      <c r="A10" s="26">
        <v>43718</v>
      </c>
      <c r="B10" s="78">
        <f t="shared" si="3"/>
        <v>43718</v>
      </c>
      <c r="C10" s="76">
        <v>10000000</v>
      </c>
      <c r="D10" s="6">
        <v>-4.5100000000000001E-3</v>
      </c>
      <c r="E10" s="10">
        <f t="shared" si="4"/>
        <v>5.0000000000000001E-3</v>
      </c>
      <c r="F10" s="7">
        <v>0</v>
      </c>
      <c r="G10" s="54">
        <v>0.02</v>
      </c>
      <c r="H10" s="29">
        <v>1</v>
      </c>
      <c r="I10" s="13">
        <f t="shared" si="0"/>
        <v>-4.5100000000000001E-3</v>
      </c>
      <c r="J10" s="14">
        <f t="shared" si="1"/>
        <v>-1.2527777777777778E-5</v>
      </c>
      <c r="K10" s="15">
        <f t="shared" si="7"/>
        <v>-999.12767783908475</v>
      </c>
      <c r="L10" s="15">
        <f t="shared" si="8"/>
        <v>-124.98907326744288</v>
      </c>
      <c r="M10" s="41">
        <f t="shared" si="2"/>
        <v>1.388888888888889E-5</v>
      </c>
      <c r="N10" s="17">
        <f t="shared" si="5"/>
        <v>138.88888888888889</v>
      </c>
      <c r="O10" s="79">
        <f t="shared" si="9"/>
        <v>5.5555555555555558E-5</v>
      </c>
      <c r="P10" s="17">
        <f t="shared" si="10"/>
        <v>555.55555555555554</v>
      </c>
      <c r="Q10" s="37">
        <f t="shared" si="6"/>
        <v>13.89981562144601</v>
      </c>
      <c r="R10" s="84">
        <f t="shared" si="11"/>
        <v>569.45537117700155</v>
      </c>
      <c r="S10" s="56">
        <f>'Floored Rate NCCR calc'!R10</f>
        <v>569.45537117758761</v>
      </c>
    </row>
    <row r="11" spans="1:19" x14ac:dyDescent="0.25">
      <c r="A11" s="26">
        <v>43719</v>
      </c>
      <c r="B11" s="78">
        <f t="shared" si="3"/>
        <v>43719</v>
      </c>
      <c r="C11" s="76">
        <v>10000000</v>
      </c>
      <c r="D11" s="6">
        <v>-4.5000000000000005E-3</v>
      </c>
      <c r="E11" s="10">
        <f t="shared" si="4"/>
        <v>5.0000000000000001E-3</v>
      </c>
      <c r="F11" s="7">
        <v>0</v>
      </c>
      <c r="G11" s="54">
        <v>0.02</v>
      </c>
      <c r="H11" s="29">
        <v>1</v>
      </c>
      <c r="I11" s="13">
        <f t="shared" si="0"/>
        <v>-4.5000000000000005E-3</v>
      </c>
      <c r="J11" s="14">
        <f t="shared" si="1"/>
        <v>-1.2500000000000002E-5</v>
      </c>
      <c r="K11" s="15">
        <f t="shared" si="7"/>
        <v>-1124.3929387673429</v>
      </c>
      <c r="L11" s="15">
        <f t="shared" si="8"/>
        <v>-125.26526092825819</v>
      </c>
      <c r="M11" s="41">
        <f t="shared" si="2"/>
        <v>1.388888888888889E-5</v>
      </c>
      <c r="N11" s="17">
        <f t="shared" si="5"/>
        <v>138.88888888888889</v>
      </c>
      <c r="O11" s="79">
        <f t="shared" si="9"/>
        <v>5.5555555555555558E-5</v>
      </c>
      <c r="P11" s="17">
        <f t="shared" si="10"/>
        <v>555.55555555555554</v>
      </c>
      <c r="Q11" s="37">
        <f t="shared" si="6"/>
        <v>13.623627960630699</v>
      </c>
      <c r="R11" s="84">
        <f t="shared" si="11"/>
        <v>569.17918351618619</v>
      </c>
      <c r="S11" s="56">
        <f>'Floored Rate NCCR calc'!R11</f>
        <v>569.1791835159579</v>
      </c>
    </row>
    <row r="12" spans="1:19" x14ac:dyDescent="0.25">
      <c r="A12" s="26">
        <v>43720</v>
      </c>
      <c r="B12" s="78">
        <f t="shared" si="3"/>
        <v>43720</v>
      </c>
      <c r="C12" s="76">
        <v>10000000</v>
      </c>
      <c r="D12" s="6">
        <v>-4.4900000000000001E-3</v>
      </c>
      <c r="E12" s="10">
        <f t="shared" si="4"/>
        <v>5.0000000000000001E-3</v>
      </c>
      <c r="F12" s="7">
        <v>0</v>
      </c>
      <c r="G12" s="54">
        <v>0.02</v>
      </c>
      <c r="H12" s="29">
        <v>1</v>
      </c>
      <c r="I12" s="13">
        <f t="shared" si="0"/>
        <v>-4.4900000000000001E-3</v>
      </c>
      <c r="J12" s="14">
        <f t="shared" si="1"/>
        <v>-1.2472222222222222E-5</v>
      </c>
      <c r="K12" s="15">
        <f t="shared" si="7"/>
        <v>-1249.3788838556084</v>
      </c>
      <c r="L12" s="15">
        <f t="shared" si="8"/>
        <v>-124.98594508826544</v>
      </c>
      <c r="M12" s="41">
        <f t="shared" si="2"/>
        <v>1.388888888888889E-5</v>
      </c>
      <c r="N12" s="17">
        <f t="shared" si="5"/>
        <v>138.88888888888889</v>
      </c>
      <c r="O12" s="79">
        <f t="shared" si="9"/>
        <v>5.5555555555555558E-5</v>
      </c>
      <c r="P12" s="17">
        <f t="shared" si="10"/>
        <v>555.55555555555554</v>
      </c>
      <c r="Q12" s="37">
        <f t="shared" si="6"/>
        <v>13.902943800623447</v>
      </c>
      <c r="R12" s="84">
        <f t="shared" si="11"/>
        <v>569.458499356179</v>
      </c>
      <c r="S12" s="56">
        <f>'Floored Rate NCCR calc'!R12</f>
        <v>569.45849935641468</v>
      </c>
    </row>
    <row r="13" spans="1:19" x14ac:dyDescent="0.25">
      <c r="A13" s="26">
        <v>43721</v>
      </c>
      <c r="B13" s="78">
        <f t="shared" si="3"/>
        <v>43721</v>
      </c>
      <c r="C13" s="76">
        <v>10000000</v>
      </c>
      <c r="D13" s="6">
        <v>-4.5100000000000001E-3</v>
      </c>
      <c r="E13" s="10">
        <f t="shared" si="4"/>
        <v>5.0000000000000001E-3</v>
      </c>
      <c r="F13" s="7">
        <v>0</v>
      </c>
      <c r="G13" s="54">
        <v>0.02</v>
      </c>
      <c r="H13" s="29">
        <v>3</v>
      </c>
      <c r="I13" s="13">
        <f t="shared" si="0"/>
        <v>-4.5100000000000001E-3</v>
      </c>
      <c r="J13" s="14">
        <f t="shared" si="1"/>
        <v>-3.7583333333333337E-5</v>
      </c>
      <c r="K13" s="15">
        <f t="shared" si="7"/>
        <v>-1374.0855235467513</v>
      </c>
      <c r="L13" s="15">
        <f t="shared" si="8"/>
        <v>-124.70663969114302</v>
      </c>
      <c r="M13" s="41">
        <f t="shared" si="2"/>
        <v>4.1666666666666665E-5</v>
      </c>
      <c r="N13" s="17">
        <f t="shared" si="5"/>
        <v>138.88888888888889</v>
      </c>
      <c r="O13" s="79">
        <f t="shared" si="9"/>
        <v>1.6666666666666666E-4</v>
      </c>
      <c r="P13" s="17">
        <f t="shared" si="10"/>
        <v>555.55555555555554</v>
      </c>
      <c r="Q13" s="37">
        <f t="shared" si="6"/>
        <v>14.182249197745861</v>
      </c>
      <c r="R13" s="84">
        <f t="shared" si="11"/>
        <v>569.73780475330136</v>
      </c>
      <c r="S13" s="56">
        <f>'Floored Rate NCCR calc'!R13</f>
        <v>569.7378047530035</v>
      </c>
    </row>
    <row r="14" spans="1:19" x14ac:dyDescent="0.25">
      <c r="A14" s="26">
        <v>43724</v>
      </c>
      <c r="B14" s="78">
        <f t="shared" si="3"/>
        <v>43724</v>
      </c>
      <c r="C14" s="76">
        <v>10000000</v>
      </c>
      <c r="D14" s="6">
        <v>-4.5000000000000005E-3</v>
      </c>
      <c r="E14" s="10">
        <f t="shared" si="4"/>
        <v>5.0000000000000001E-3</v>
      </c>
      <c r="F14" s="7">
        <v>0</v>
      </c>
      <c r="G14" s="54">
        <v>0.02</v>
      </c>
      <c r="H14" s="29">
        <v>1</v>
      </c>
      <c r="I14" s="13">
        <f t="shared" si="0"/>
        <v>-4.5000000000000005E-3</v>
      </c>
      <c r="J14" s="14">
        <f t="shared" si="1"/>
        <v>-1.2500000000000002E-5</v>
      </c>
      <c r="K14" s="15">
        <f t="shared" si="7"/>
        <v>-1749.8672141658246</v>
      </c>
      <c r="L14" s="15">
        <f t="shared" si="8"/>
        <v>-375.78169061907334</v>
      </c>
      <c r="M14" s="41">
        <f t="shared" si="2"/>
        <v>1.388888888888889E-5</v>
      </c>
      <c r="N14" s="17">
        <f t="shared" si="5"/>
        <v>416.66666666666663</v>
      </c>
      <c r="O14" s="79">
        <f t="shared" si="9"/>
        <v>5.5555555555555558E-5</v>
      </c>
      <c r="P14" s="17">
        <f t="shared" si="10"/>
        <v>1666.6666666666665</v>
      </c>
      <c r="Q14" s="37">
        <f t="shared" si="6"/>
        <v>40.884976047593284</v>
      </c>
      <c r="R14" s="84">
        <f t="shared" si="11"/>
        <v>1707.5516427142597</v>
      </c>
      <c r="S14" s="56">
        <f>'Floored Rate NCCR calc'!R14</f>
        <v>1707.5516427141963</v>
      </c>
    </row>
    <row r="15" spans="1:19" x14ac:dyDescent="0.25">
      <c r="A15" s="26">
        <v>43725</v>
      </c>
      <c r="B15" s="78">
        <f t="shared" si="3"/>
        <v>43725</v>
      </c>
      <c r="C15" s="76">
        <v>10000000</v>
      </c>
      <c r="D15" s="6">
        <v>-4.5100000000000001E-3</v>
      </c>
      <c r="E15" s="10">
        <f t="shared" si="4"/>
        <v>5.0000000000000001E-3</v>
      </c>
      <c r="F15" s="7">
        <v>0</v>
      </c>
      <c r="G15" s="54">
        <v>0.02</v>
      </c>
      <c r="H15" s="29">
        <v>1</v>
      </c>
      <c r="I15" s="13">
        <f t="shared" si="0"/>
        <v>-4.5100000000000001E-3</v>
      </c>
      <c r="J15" s="14">
        <f t="shared" si="1"/>
        <v>-1.2527777777777778E-5</v>
      </c>
      <c r="K15" s="15">
        <f t="shared" si="7"/>
        <v>-1874.8453408256476</v>
      </c>
      <c r="L15" s="15">
        <f t="shared" si="8"/>
        <v>-124.97812665982295</v>
      </c>
      <c r="M15" s="41">
        <f t="shared" si="2"/>
        <v>1.388888888888889E-5</v>
      </c>
      <c r="N15" s="17">
        <f t="shared" si="5"/>
        <v>138.88888888888889</v>
      </c>
      <c r="O15" s="79">
        <f t="shared" si="9"/>
        <v>5.5555555555555558E-5</v>
      </c>
      <c r="P15" s="17">
        <f t="shared" si="10"/>
        <v>555.55555555555554</v>
      </c>
      <c r="Q15" s="37">
        <f t="shared" si="6"/>
        <v>13.910762229065938</v>
      </c>
      <c r="R15" s="84">
        <f t="shared" si="11"/>
        <v>569.46631778462142</v>
      </c>
      <c r="S15" s="56">
        <f>'Floored Rate NCCR calc'!R15</f>
        <v>569.46631778454184</v>
      </c>
    </row>
    <row r="16" spans="1:19" x14ac:dyDescent="0.25">
      <c r="A16" s="26">
        <v>43726</v>
      </c>
      <c r="B16" s="78">
        <f t="shared" si="3"/>
        <v>43726</v>
      </c>
      <c r="C16" s="76">
        <v>10000000</v>
      </c>
      <c r="D16" s="6">
        <v>-5.5200000000000006E-3</v>
      </c>
      <c r="E16" s="10">
        <f t="shared" si="4"/>
        <v>5.0000000000000001E-3</v>
      </c>
      <c r="F16" s="7">
        <v>0</v>
      </c>
      <c r="G16" s="54">
        <v>0.02</v>
      </c>
      <c r="H16" s="29">
        <v>1</v>
      </c>
      <c r="I16" s="13">
        <f t="shared" si="0"/>
        <v>-5.0000000000000001E-3</v>
      </c>
      <c r="J16" s="14">
        <f t="shared" si="1"/>
        <v>-1.388888888888889E-5</v>
      </c>
      <c r="K16" s="15">
        <f t="shared" si="7"/>
        <v>-2000.0996309576278</v>
      </c>
      <c r="L16" s="15">
        <f t="shared" si="8"/>
        <v>-125.25429013198021</v>
      </c>
      <c r="M16" s="41">
        <f t="shared" si="2"/>
        <v>1.388888888888889E-5</v>
      </c>
      <c r="N16" s="17">
        <f t="shared" si="5"/>
        <v>138.88888888888889</v>
      </c>
      <c r="O16" s="79">
        <f t="shared" si="9"/>
        <v>5.5555555555555558E-5</v>
      </c>
      <c r="P16" s="17">
        <f t="shared" si="10"/>
        <v>555.55555555555554</v>
      </c>
      <c r="Q16" s="37">
        <f t="shared" si="6"/>
        <v>13.634598756908673</v>
      </c>
      <c r="R16" s="84">
        <f t="shared" si="11"/>
        <v>569.19015431246419</v>
      </c>
      <c r="S16" s="56">
        <f>'Floored Rate NCCR calc'!R16</f>
        <v>569.19015431245134</v>
      </c>
    </row>
    <row r="17" spans="1:19" x14ac:dyDescent="0.25">
      <c r="A17" s="26">
        <v>43727</v>
      </c>
      <c r="B17" s="78">
        <f t="shared" si="3"/>
        <v>43727</v>
      </c>
      <c r="C17" s="76">
        <v>10000000</v>
      </c>
      <c r="D17" s="6">
        <v>-5.5500000000000002E-3</v>
      </c>
      <c r="E17" s="10">
        <f t="shared" si="4"/>
        <v>5.0000000000000001E-3</v>
      </c>
      <c r="F17" s="7">
        <v>0</v>
      </c>
      <c r="G17" s="54">
        <v>0.02</v>
      </c>
      <c r="H17" s="29">
        <v>1</v>
      </c>
      <c r="I17" s="13">
        <f t="shared" si="0"/>
        <v>-5.0000000000000001E-3</v>
      </c>
      <c r="J17" s="14">
        <f t="shared" si="1"/>
        <v>-1.388888888888889E-5</v>
      </c>
      <c r="K17" s="15">
        <f t="shared" si="7"/>
        <v>-2138.9607406849755</v>
      </c>
      <c r="L17" s="15">
        <f t="shared" si="8"/>
        <v>-138.86110972734781</v>
      </c>
      <c r="M17" s="41">
        <f t="shared" si="2"/>
        <v>1.388888888888889E-5</v>
      </c>
      <c r="N17" s="17">
        <f t="shared" si="5"/>
        <v>138.88888888888889</v>
      </c>
      <c r="O17" s="79">
        <f t="shared" si="9"/>
        <v>5.5555555555555558E-5</v>
      </c>
      <c r="P17" s="17">
        <f t="shared" si="10"/>
        <v>555.55555555555554</v>
      </c>
      <c r="Q17" s="37">
        <f t="shared" si="6"/>
        <v>2.7779161541076292E-2</v>
      </c>
      <c r="R17" s="84">
        <f t="shared" si="11"/>
        <v>555.58333471709659</v>
      </c>
      <c r="S17" s="56">
        <f>'Floored Rate NCCR calc'!R17</f>
        <v>555.58333471694948</v>
      </c>
    </row>
    <row r="18" spans="1:19" x14ac:dyDescent="0.25">
      <c r="A18" s="26">
        <v>43728</v>
      </c>
      <c r="B18" s="78">
        <f t="shared" si="3"/>
        <v>43728</v>
      </c>
      <c r="C18" s="76">
        <v>10000000</v>
      </c>
      <c r="D18" s="6">
        <v>-5.5300000000000002E-3</v>
      </c>
      <c r="E18" s="10">
        <f t="shared" si="4"/>
        <v>5.0000000000000001E-3</v>
      </c>
      <c r="F18" s="7">
        <v>0</v>
      </c>
      <c r="G18" s="54">
        <v>0.02</v>
      </c>
      <c r="H18" s="29">
        <v>3</v>
      </c>
      <c r="I18" s="13">
        <f t="shared" si="0"/>
        <v>-5.0000000000000001E-3</v>
      </c>
      <c r="J18" s="14">
        <f t="shared" si="1"/>
        <v>-4.1666666666666665E-5</v>
      </c>
      <c r="K18" s="15">
        <f t="shared" si="7"/>
        <v>-2277.8199217857991</v>
      </c>
      <c r="L18" s="15">
        <f t="shared" si="8"/>
        <v>-138.85918110082383</v>
      </c>
      <c r="M18" s="41">
        <f t="shared" si="2"/>
        <v>4.1666666666666665E-5</v>
      </c>
      <c r="N18" s="17">
        <f t="shared" si="5"/>
        <v>138.88888888888889</v>
      </c>
      <c r="O18" s="79">
        <f t="shared" si="9"/>
        <v>1.6666666666666666E-4</v>
      </c>
      <c r="P18" s="17">
        <f t="shared" si="10"/>
        <v>555.55555555555554</v>
      </c>
      <c r="Q18" s="37">
        <f t="shared" si="6"/>
        <v>2.9707788065053364E-2</v>
      </c>
      <c r="R18" s="84">
        <f t="shared" si="11"/>
        <v>555.58526334362057</v>
      </c>
      <c r="S18" s="56">
        <f>'Floored Rate NCCR calc'!R18</f>
        <v>555.58526334420731</v>
      </c>
    </row>
    <row r="19" spans="1:19" x14ac:dyDescent="0.25">
      <c r="A19" s="26">
        <v>43731</v>
      </c>
      <c r="B19" s="78">
        <f t="shared" si="3"/>
        <v>43731</v>
      </c>
      <c r="C19" s="76">
        <v>10000000</v>
      </c>
      <c r="D19" s="6">
        <v>-5.5400000000000007E-3</v>
      </c>
      <c r="E19" s="10">
        <f t="shared" si="4"/>
        <v>5.0000000000000001E-3</v>
      </c>
      <c r="F19" s="7">
        <v>0</v>
      </c>
      <c r="G19" s="54">
        <v>0.02</v>
      </c>
      <c r="H19" s="29">
        <v>1</v>
      </c>
      <c r="I19" s="13">
        <f t="shared" si="0"/>
        <v>-5.0000000000000001E-3</v>
      </c>
      <c r="J19" s="14">
        <f t="shared" si="1"/>
        <v>-1.388888888888889E-5</v>
      </c>
      <c r="K19" s="15">
        <f t="shared" si="7"/>
        <v>-2694.3916792890582</v>
      </c>
      <c r="L19" s="15">
        <f t="shared" si="8"/>
        <v>-416.57175750325888</v>
      </c>
      <c r="M19" s="41">
        <f t="shared" si="2"/>
        <v>1.388888888888889E-5</v>
      </c>
      <c r="N19" s="17">
        <f t="shared" si="5"/>
        <v>416.66666666666663</v>
      </c>
      <c r="O19" s="79">
        <f t="shared" si="9"/>
        <v>5.5555555555555558E-5</v>
      </c>
      <c r="P19" s="17">
        <f t="shared" si="10"/>
        <v>1666.6666666666665</v>
      </c>
      <c r="Q19" s="37">
        <f t="shared" si="6"/>
        <v>9.490916340774902E-2</v>
      </c>
      <c r="R19" s="84">
        <f t="shared" si="11"/>
        <v>1666.7615758300742</v>
      </c>
      <c r="S19" s="56">
        <f>'Floored Rate NCCR calc'!R19</f>
        <v>1666.7615758300185</v>
      </c>
    </row>
    <row r="20" spans="1:19" x14ac:dyDescent="0.25">
      <c r="A20" s="26">
        <v>43732</v>
      </c>
      <c r="B20" s="78">
        <f t="shared" si="3"/>
        <v>43732</v>
      </c>
      <c r="C20" s="76">
        <v>10000000</v>
      </c>
      <c r="D20" s="6">
        <v>-5.5200000000000006E-3</v>
      </c>
      <c r="E20" s="10">
        <f t="shared" si="4"/>
        <v>5.0000000000000001E-3</v>
      </c>
      <c r="F20" s="7">
        <v>0</v>
      </c>
      <c r="G20" s="54">
        <v>0.02</v>
      </c>
      <c r="H20" s="29">
        <v>1</v>
      </c>
      <c r="I20" s="13">
        <f t="shared" si="0"/>
        <v>-5.0000000000000001E-3</v>
      </c>
      <c r="J20" s="14">
        <f t="shared" si="1"/>
        <v>-1.388888888888889E-5</v>
      </c>
      <c r="K20" s="15">
        <f t="shared" si="7"/>
        <v>-2833.2431460712901</v>
      </c>
      <c r="L20" s="15">
        <f t="shared" si="8"/>
        <v>-138.85146678223211</v>
      </c>
      <c r="M20" s="41">
        <f t="shared" si="2"/>
        <v>1.388888888888889E-5</v>
      </c>
      <c r="N20" s="17">
        <f t="shared" si="5"/>
        <v>138.88888888888889</v>
      </c>
      <c r="O20" s="79">
        <f t="shared" si="9"/>
        <v>5.5555555555555558E-5</v>
      </c>
      <c r="P20" s="17">
        <f t="shared" si="10"/>
        <v>555.55555555555554</v>
      </c>
      <c r="Q20" s="37">
        <f t="shared" si="6"/>
        <v>3.7422106656777032E-2</v>
      </c>
      <c r="R20" s="84">
        <f t="shared" si="11"/>
        <v>555.59297766221232</v>
      </c>
      <c r="S20" s="56">
        <f>'Floored Rate NCCR calc'!R20</f>
        <v>555.59297766228053</v>
      </c>
    </row>
    <row r="21" spans="1:19" x14ac:dyDescent="0.25">
      <c r="A21" s="26">
        <v>43733</v>
      </c>
      <c r="B21" s="78">
        <f t="shared" si="3"/>
        <v>43733</v>
      </c>
      <c r="C21" s="76">
        <v>10000000</v>
      </c>
      <c r="D21" s="6">
        <v>-5.5300000000000002E-3</v>
      </c>
      <c r="E21" s="10">
        <f t="shared" si="4"/>
        <v>5.0000000000000001E-3</v>
      </c>
      <c r="F21" s="7">
        <v>0</v>
      </c>
      <c r="G21" s="54">
        <v>0.02</v>
      </c>
      <c r="H21" s="29">
        <v>1</v>
      </c>
      <c r="I21" s="13">
        <f t="shared" si="0"/>
        <v>-5.0000000000000001E-3</v>
      </c>
      <c r="J21" s="14">
        <f t="shared" si="1"/>
        <v>-1.388888888888889E-5</v>
      </c>
      <c r="K21" s="15">
        <f t="shared" si="7"/>
        <v>-2972.0926843609282</v>
      </c>
      <c r="L21" s="15">
        <f t="shared" si="8"/>
        <v>-138.84953828963791</v>
      </c>
      <c r="M21" s="41">
        <f t="shared" si="2"/>
        <v>1.388888888888889E-5</v>
      </c>
      <c r="N21" s="17">
        <f t="shared" si="5"/>
        <v>138.88888888888889</v>
      </c>
      <c r="O21" s="79">
        <f t="shared" si="9"/>
        <v>5.5555555555555558E-5</v>
      </c>
      <c r="P21" s="17">
        <f t="shared" si="10"/>
        <v>555.55555555555554</v>
      </c>
      <c r="Q21" s="37">
        <f t="shared" si="6"/>
        <v>3.9350599250980167E-2</v>
      </c>
      <c r="R21" s="84">
        <f t="shared" si="11"/>
        <v>555.59490615480649</v>
      </c>
      <c r="S21" s="56">
        <f>'Floored Rate NCCR calc'!R21</f>
        <v>555.59490615520144</v>
      </c>
    </row>
    <row r="22" spans="1:19" x14ac:dyDescent="0.25">
      <c r="A22" s="26">
        <v>43734</v>
      </c>
      <c r="B22" s="78">
        <f t="shared" si="3"/>
        <v>43734</v>
      </c>
      <c r="C22" s="76">
        <v>10000000</v>
      </c>
      <c r="D22" s="6">
        <v>-5.4900000000000001E-3</v>
      </c>
      <c r="E22" s="10">
        <f t="shared" si="4"/>
        <v>5.0000000000000001E-3</v>
      </c>
      <c r="F22" s="7">
        <v>0</v>
      </c>
      <c r="G22" s="54">
        <v>0.02</v>
      </c>
      <c r="H22" s="29">
        <v>1</v>
      </c>
      <c r="I22" s="13">
        <f t="shared" si="0"/>
        <v>-5.0000000000000001E-3</v>
      </c>
      <c r="J22" s="14">
        <f t="shared" si="1"/>
        <v>-1.388888888888889E-5</v>
      </c>
      <c r="K22" s="15">
        <f t="shared" si="7"/>
        <v>-3110.9402941847566</v>
      </c>
      <c r="L22" s="15">
        <f t="shared" si="8"/>
        <v>-138.84760982382835</v>
      </c>
      <c r="M22" s="41">
        <f t="shared" si="2"/>
        <v>1.388888888888889E-5</v>
      </c>
      <c r="N22" s="17">
        <f t="shared" si="5"/>
        <v>138.88888888888889</v>
      </c>
      <c r="O22" s="79">
        <f t="shared" si="9"/>
        <v>5.5555555555555558E-5</v>
      </c>
      <c r="P22" s="17">
        <f t="shared" si="10"/>
        <v>555.55555555555554</v>
      </c>
      <c r="Q22" s="37">
        <f t="shared" si="6"/>
        <v>4.1279065060535913E-2</v>
      </c>
      <c r="R22" s="84">
        <f t="shared" si="11"/>
        <v>555.59683462061605</v>
      </c>
      <c r="S22" s="56">
        <f>'Floored Rate NCCR calc'!R22</f>
        <v>555.59683462036685</v>
      </c>
    </row>
    <row r="23" spans="1:19" x14ac:dyDescent="0.25">
      <c r="A23" s="26">
        <v>43735</v>
      </c>
      <c r="B23" s="78">
        <f t="shared" si="3"/>
        <v>43735</v>
      </c>
      <c r="C23" s="76">
        <v>10000000</v>
      </c>
      <c r="D23" s="6">
        <v>-5.47E-3</v>
      </c>
      <c r="E23" s="10">
        <f t="shared" si="4"/>
        <v>5.0000000000000001E-3</v>
      </c>
      <c r="F23" s="7">
        <v>0</v>
      </c>
      <c r="G23" s="54">
        <v>0.02</v>
      </c>
      <c r="H23" s="29">
        <v>3</v>
      </c>
      <c r="I23" s="13">
        <f t="shared" si="0"/>
        <v>-5.0000000000000001E-3</v>
      </c>
      <c r="J23" s="14">
        <f t="shared" si="1"/>
        <v>-4.1666666666666665E-5</v>
      </c>
      <c r="K23" s="15">
        <f t="shared" si="7"/>
        <v>-3249.7859755695595</v>
      </c>
      <c r="L23" s="15">
        <f t="shared" si="8"/>
        <v>-138.84568138480299</v>
      </c>
      <c r="M23" s="41">
        <f t="shared" si="2"/>
        <v>4.1666666666666665E-5</v>
      </c>
      <c r="N23" s="17">
        <f t="shared" si="5"/>
        <v>138.88888888888889</v>
      </c>
      <c r="O23" s="79">
        <f t="shared" si="9"/>
        <v>1.6666666666666666E-4</v>
      </c>
      <c r="P23" s="17">
        <f t="shared" si="10"/>
        <v>555.55555555555554</v>
      </c>
      <c r="Q23" s="37">
        <f t="shared" si="6"/>
        <v>4.3207504085899018E-2</v>
      </c>
      <c r="R23" s="84">
        <f t="shared" si="11"/>
        <v>555.59876305964144</v>
      </c>
      <c r="S23" s="56">
        <f>'Floored Rate NCCR calc'!R23</f>
        <v>555.59876305999705</v>
      </c>
    </row>
    <row r="24" spans="1:19" x14ac:dyDescent="0.25">
      <c r="A24" s="26">
        <v>43738</v>
      </c>
      <c r="B24" s="78">
        <f t="shared" si="3"/>
        <v>43738</v>
      </c>
      <c r="C24" s="76">
        <v>10000000</v>
      </c>
      <c r="D24" s="6">
        <v>-5.4900000000000001E-3</v>
      </c>
      <c r="E24" s="10">
        <f t="shared" si="4"/>
        <v>5.0000000000000001E-3</v>
      </c>
      <c r="F24" s="7">
        <v>0</v>
      </c>
      <c r="G24" s="54">
        <v>0.02</v>
      </c>
      <c r="H24" s="29">
        <v>1</v>
      </c>
      <c r="I24" s="13">
        <f t="shared" si="0"/>
        <v>-5.0000000000000001E-3</v>
      </c>
      <c r="J24" s="14">
        <f t="shared" si="1"/>
        <v>-1.388888888888889E-5</v>
      </c>
      <c r="K24" s="15">
        <f t="shared" si="7"/>
        <v>-3666.3172344872441</v>
      </c>
      <c r="L24" s="15">
        <f t="shared" si="8"/>
        <v>-416.53125891768457</v>
      </c>
      <c r="M24" s="41">
        <f t="shared" si="2"/>
        <v>1.388888888888889E-5</v>
      </c>
      <c r="N24" s="17">
        <f t="shared" si="5"/>
        <v>416.66666666666663</v>
      </c>
      <c r="O24" s="79">
        <f t="shared" si="9"/>
        <v>5.5555555555555558E-5</v>
      </c>
      <c r="P24" s="17">
        <f t="shared" si="10"/>
        <v>1666.6666666666665</v>
      </c>
      <c r="Q24" s="37">
        <f t="shared" si="6"/>
        <v>0.13540774898206109</v>
      </c>
      <c r="R24" s="84">
        <f t="shared" si="11"/>
        <v>1666.8020744156486</v>
      </c>
      <c r="S24" s="56">
        <f>'Floored Rate NCCR calc'!R24</f>
        <v>1666.8020744156147</v>
      </c>
    </row>
    <row r="25" spans="1:19" ht="15.75" thickBot="1" x14ac:dyDescent="0.3">
      <c r="A25" s="42">
        <v>43739</v>
      </c>
      <c r="B25" s="43" t="s">
        <v>9</v>
      </c>
      <c r="C25" s="43" t="s">
        <v>9</v>
      </c>
      <c r="D25" s="43" t="s">
        <v>9</v>
      </c>
      <c r="E25" s="43" t="s">
        <v>9</v>
      </c>
      <c r="F25" s="43" t="s">
        <v>9</v>
      </c>
      <c r="G25" s="43" t="s">
        <v>9</v>
      </c>
      <c r="H25" s="44" t="s">
        <v>9</v>
      </c>
      <c r="I25" s="45" t="s">
        <v>9</v>
      </c>
      <c r="J25" s="45" t="s">
        <v>9</v>
      </c>
      <c r="K25" s="47">
        <f t="shared" si="7"/>
        <v>-3805.1552023034319</v>
      </c>
      <c r="L25" s="47">
        <f t="shared" si="8"/>
        <v>-138.8379678161877</v>
      </c>
      <c r="M25" s="46" t="s">
        <v>9</v>
      </c>
      <c r="N25" s="31">
        <f t="shared" si="5"/>
        <v>138.88888888888889</v>
      </c>
      <c r="O25" s="80" t="s">
        <v>9</v>
      </c>
      <c r="P25" s="81">
        <f t="shared" si="10"/>
        <v>555.55555555555554</v>
      </c>
      <c r="Q25" s="38">
        <f t="shared" si="6"/>
        <v>5.0921072701186176E-2</v>
      </c>
      <c r="R25" s="92">
        <f t="shared" si="11"/>
        <v>555.6064766282567</v>
      </c>
      <c r="S25" s="82">
        <f>'Floored Rate NCCR calc'!R25</f>
        <v>555.60647662866972</v>
      </c>
    </row>
    <row r="26" spans="1:19" ht="45" x14ac:dyDescent="0.25">
      <c r="Q26" s="4"/>
      <c r="R26" s="93" t="s">
        <v>4</v>
      </c>
      <c r="S26" s="64" t="s">
        <v>4</v>
      </c>
    </row>
    <row r="27" spans="1:19" ht="15.75" thickBot="1" x14ac:dyDescent="0.3">
      <c r="Q27" s="3"/>
      <c r="R27" s="94">
        <f>SUM(R5:R25)</f>
        <v>16333.733686585456</v>
      </c>
      <c r="S27" s="95">
        <f>SUM(S5:S25)</f>
        <v>16333.733686587819</v>
      </c>
    </row>
  </sheetData>
  <sheetProtection algorithmName="SHA-512" hashValue="8KLlf7A5WddpmrHSxh0dcYQTopiOQpG46kE+IThJaH2E9dMnMx1I+dx5CYVPj0kPSEr0jIU3EpZynKmcPkMDtw==" saltValue="e9qXDA1AFlGItiLtBg3mNA==" spinCount="100000" sheet="1" objects="1" scenarios="1"/>
  <mergeCells count="2">
    <mergeCell ref="A1:H1"/>
    <mergeCell ref="I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99C383-DAB1-413E-B25B-E6A85C5E1931}"/>
</file>

<file path=customXml/itemProps2.xml><?xml version="1.0" encoding="utf-8"?>
<ds:datastoreItem xmlns:ds="http://schemas.openxmlformats.org/officeDocument/2006/customXml" ds:itemID="{D11EED83-A14B-4D11-9C9F-EF62FC90FE8F}"/>
</file>

<file path=customXml/itemProps3.xml><?xml version="1.0" encoding="utf-8"?>
<ds:datastoreItem xmlns:ds="http://schemas.openxmlformats.org/officeDocument/2006/customXml" ds:itemID="{1C027D72-02AA-4F54-BE54-2B880B966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Floored Rate NCCR calc</vt:lpstr>
      <vt:lpstr>Floored Rate CTB calc</vt:lpstr>
    </vt:vector>
  </TitlesOfParts>
  <Company>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H. Bowman</dc:creator>
  <cp:lastModifiedBy>Manning, Brian</cp:lastModifiedBy>
  <dcterms:created xsi:type="dcterms:W3CDTF">2020-05-21T14:51:19Z</dcterms:created>
  <dcterms:modified xsi:type="dcterms:W3CDTF">2020-08-27T17:57:48Z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393d8b62-7d5d-466a-ab80-ac1be70ed078</vt:lpwstr>
  </property>
</Properties>
</file>